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390" windowWidth="16035" windowHeight="7185"/>
  </bookViews>
  <sheets>
    <sheet name="TAB 5.6.63.7 a 5.6.63.8 PVCh45" sheetId="1" r:id="rId1"/>
  </sheets>
  <externalReferences>
    <externalReference r:id="rId2"/>
    <externalReference r:id="rId3"/>
    <externalReference r:id="rId4"/>
    <externalReference r:id="rId5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T81" i="1"/>
  <c r="V79"/>
  <c r="V78"/>
  <c r="H73"/>
  <c r="G73"/>
  <c r="F73"/>
  <c r="D73"/>
  <c r="E72"/>
  <c r="L72" s="1"/>
  <c r="H71"/>
  <c r="G71"/>
  <c r="I72" s="1"/>
  <c r="F71"/>
  <c r="D71"/>
  <c r="E70"/>
  <c r="L70" s="1"/>
  <c r="H69"/>
  <c r="J70" s="1"/>
  <c r="N70" s="1"/>
  <c r="G69"/>
  <c r="F69"/>
  <c r="D69"/>
  <c r="E68"/>
  <c r="L68" s="1"/>
  <c r="H67"/>
  <c r="G67"/>
  <c r="I68" s="1"/>
  <c r="F67"/>
  <c r="D67"/>
  <c r="E66"/>
  <c r="L66" s="1"/>
  <c r="H65"/>
  <c r="J66" s="1"/>
  <c r="N66" s="1"/>
  <c r="G65"/>
  <c r="F65"/>
  <c r="D65"/>
  <c r="E64"/>
  <c r="L64" s="1"/>
  <c r="H63"/>
  <c r="G63"/>
  <c r="I64" s="1"/>
  <c r="F63"/>
  <c r="D63"/>
  <c r="E62"/>
  <c r="L62" s="1"/>
  <c r="H61"/>
  <c r="J62" s="1"/>
  <c r="N62" s="1"/>
  <c r="G61"/>
  <c r="F61"/>
  <c r="D61"/>
  <c r="E60"/>
  <c r="L60" s="1"/>
  <c r="H59"/>
  <c r="G59"/>
  <c r="I60" s="1"/>
  <c r="F59"/>
  <c r="D59"/>
  <c r="E58"/>
  <c r="L58" s="1"/>
  <c r="H57"/>
  <c r="J58" s="1"/>
  <c r="N58" s="1"/>
  <c r="G57"/>
  <c r="F57"/>
  <c r="F75" s="1"/>
  <c r="D57"/>
  <c r="C51"/>
  <c r="U50"/>
  <c r="C50"/>
  <c r="U49"/>
  <c r="U48"/>
  <c r="V58" s="1"/>
  <c r="C48"/>
  <c r="U47"/>
  <c r="Q58" s="1"/>
  <c r="T38"/>
  <c r="V36"/>
  <c r="V35"/>
  <c r="H31"/>
  <c r="G31"/>
  <c r="F31"/>
  <c r="D31"/>
  <c r="E30"/>
  <c r="L30" s="1"/>
  <c r="H29"/>
  <c r="G29"/>
  <c r="I30" s="1"/>
  <c r="F29"/>
  <c r="D29"/>
  <c r="E28"/>
  <c r="L28" s="1"/>
  <c r="H27"/>
  <c r="J28" s="1"/>
  <c r="N28" s="1"/>
  <c r="G27"/>
  <c r="F27"/>
  <c r="D27"/>
  <c r="E26"/>
  <c r="L26" s="1"/>
  <c r="H25"/>
  <c r="G25"/>
  <c r="I26" s="1"/>
  <c r="F25"/>
  <c r="D25"/>
  <c r="E24"/>
  <c r="L24" s="1"/>
  <c r="H23"/>
  <c r="J24" s="1"/>
  <c r="N24" s="1"/>
  <c r="G23"/>
  <c r="F23"/>
  <c r="D23"/>
  <c r="E22"/>
  <c r="L22" s="1"/>
  <c r="H21"/>
  <c r="G21"/>
  <c r="I22" s="1"/>
  <c r="F21"/>
  <c r="D21"/>
  <c r="E20"/>
  <c r="L20" s="1"/>
  <c r="H19"/>
  <c r="J20" s="1"/>
  <c r="N20" s="1"/>
  <c r="G19"/>
  <c r="F19"/>
  <c r="D19"/>
  <c r="E18"/>
  <c r="L18" s="1"/>
  <c r="H17"/>
  <c r="G17"/>
  <c r="I18" s="1"/>
  <c r="F17"/>
  <c r="D17"/>
  <c r="G15"/>
  <c r="D15"/>
  <c r="C15"/>
  <c r="H15" s="1"/>
  <c r="J16" s="1"/>
  <c r="N16" s="1"/>
  <c r="C9"/>
  <c r="U8"/>
  <c r="C8"/>
  <c r="U7"/>
  <c r="U6"/>
  <c r="V16" s="1"/>
  <c r="V18" s="1"/>
  <c r="V20" s="1"/>
  <c r="V22" s="1"/>
  <c r="V24" s="1"/>
  <c r="V26" s="1"/>
  <c r="V28" s="1"/>
  <c r="V30" s="1"/>
  <c r="C6"/>
  <c r="U5"/>
  <c r="Q16" s="1"/>
  <c r="Q18" s="1"/>
  <c r="Q20" s="1"/>
  <c r="Q22" s="1"/>
  <c r="Q24" s="1"/>
  <c r="Q26" s="1"/>
  <c r="Q28" s="1"/>
  <c r="Q30" s="1"/>
  <c r="I16" l="1"/>
  <c r="J18"/>
  <c r="N18" s="1"/>
  <c r="I20"/>
  <c r="J22"/>
  <c r="N22" s="1"/>
  <c r="I24"/>
  <c r="J26"/>
  <c r="N26" s="1"/>
  <c r="I28"/>
  <c r="J30"/>
  <c r="N30" s="1"/>
  <c r="I58"/>
  <c r="J60"/>
  <c r="N60" s="1"/>
  <c r="I62"/>
  <c r="J64"/>
  <c r="N64" s="1"/>
  <c r="I66"/>
  <c r="J68"/>
  <c r="N68" s="1"/>
  <c r="I70"/>
  <c r="J72"/>
  <c r="N72" s="1"/>
  <c r="M16"/>
  <c r="M20"/>
  <c r="M24"/>
  <c r="M28"/>
  <c r="M58"/>
  <c r="M62"/>
  <c r="M66"/>
  <c r="M70"/>
  <c r="O16"/>
  <c r="P16" s="1"/>
  <c r="R16" s="1"/>
  <c r="S16" s="1"/>
  <c r="T16" s="1"/>
  <c r="U16" s="1"/>
  <c r="W16" s="1"/>
  <c r="M18"/>
  <c r="O18" s="1"/>
  <c r="P18" s="1"/>
  <c r="R18" s="1"/>
  <c r="S18" s="1"/>
  <c r="T18" s="1"/>
  <c r="U18" s="1"/>
  <c r="W18" s="1"/>
  <c r="M22"/>
  <c r="O22" s="1"/>
  <c r="P22" s="1"/>
  <c r="R22" s="1"/>
  <c r="S22" s="1"/>
  <c r="T22" s="1"/>
  <c r="U22" s="1"/>
  <c r="W22" s="1"/>
  <c r="M26"/>
  <c r="O26" s="1"/>
  <c r="P26" s="1"/>
  <c r="R26" s="1"/>
  <c r="S26" s="1"/>
  <c r="T26" s="1"/>
  <c r="U26" s="1"/>
  <c r="W26" s="1"/>
  <c r="M30"/>
  <c r="O30" s="1"/>
  <c r="P30" s="1"/>
  <c r="R30" s="1"/>
  <c r="S30" s="1"/>
  <c r="T30" s="1"/>
  <c r="U30" s="1"/>
  <c r="W30" s="1"/>
  <c r="Q62"/>
  <c r="Q68" s="1"/>
  <c r="Q64"/>
  <c r="Q70" s="1"/>
  <c r="Q60"/>
  <c r="Q66" s="1"/>
  <c r="Q72" s="1"/>
  <c r="V64"/>
  <c r="V70" s="1"/>
  <c r="V60"/>
  <c r="V66" s="1"/>
  <c r="V72" s="1"/>
  <c r="V62"/>
  <c r="V68" s="1"/>
  <c r="M60"/>
  <c r="O60" s="1"/>
  <c r="P60" s="1"/>
  <c r="R60" s="1"/>
  <c r="S60" s="1"/>
  <c r="T60" s="1"/>
  <c r="U60" s="1"/>
  <c r="W60" s="1"/>
  <c r="M64"/>
  <c r="O64" s="1"/>
  <c r="P64" s="1"/>
  <c r="R64" s="1"/>
  <c r="S64" s="1"/>
  <c r="T64" s="1"/>
  <c r="U64" s="1"/>
  <c r="W64" s="1"/>
  <c r="M68"/>
  <c r="O68" s="1"/>
  <c r="P68" s="1"/>
  <c r="R68" s="1"/>
  <c r="S68" s="1"/>
  <c r="T68" s="1"/>
  <c r="U68" s="1"/>
  <c r="W68" s="1"/>
  <c r="M72"/>
  <c r="O72" s="1"/>
  <c r="P72" s="1"/>
  <c r="R72" s="1"/>
  <c r="S72" s="1"/>
  <c r="T72" s="1"/>
  <c r="U72" s="1"/>
  <c r="W72" s="1"/>
  <c r="O20"/>
  <c r="P20" s="1"/>
  <c r="R20" s="1"/>
  <c r="S20" s="1"/>
  <c r="T20" s="1"/>
  <c r="U20" s="1"/>
  <c r="W20" s="1"/>
  <c r="O24"/>
  <c r="P24" s="1"/>
  <c r="R24" s="1"/>
  <c r="S24" s="1"/>
  <c r="T24" s="1"/>
  <c r="U24" s="1"/>
  <c r="O28"/>
  <c r="P28" s="1"/>
  <c r="R28" s="1"/>
  <c r="S28" s="1"/>
  <c r="T28" s="1"/>
  <c r="U28" s="1"/>
  <c r="W28" s="1"/>
  <c r="O58"/>
  <c r="P58" s="1"/>
  <c r="R58" s="1"/>
  <c r="S58" s="1"/>
  <c r="T58" s="1"/>
  <c r="U58" s="1"/>
  <c r="O62"/>
  <c r="P62" s="1"/>
  <c r="R62" s="1"/>
  <c r="S62" s="1"/>
  <c r="T62" s="1"/>
  <c r="U62" s="1"/>
  <c r="W62" s="1"/>
  <c r="O66"/>
  <c r="P66" s="1"/>
  <c r="R66" s="1"/>
  <c r="S66" s="1"/>
  <c r="T66" s="1"/>
  <c r="U66" s="1"/>
  <c r="W66" s="1"/>
  <c r="O70"/>
  <c r="P70" s="1"/>
  <c r="R70" s="1"/>
  <c r="S70" s="1"/>
  <c r="T70" s="1"/>
  <c r="U70" s="1"/>
  <c r="W70" s="1"/>
  <c r="E16"/>
  <c r="L16" s="1"/>
  <c r="F15"/>
  <c r="F32" s="1"/>
  <c r="V76" l="1"/>
  <c r="W58"/>
  <c r="V33"/>
  <c r="W24"/>
  <c r="V34" l="1"/>
  <c r="V37" s="1"/>
  <c r="V38" s="1"/>
  <c r="X24"/>
  <c r="V77"/>
  <c r="V80" s="1"/>
  <c r="V81" s="1"/>
  <c r="X58"/>
</calcChain>
</file>

<file path=xl/sharedStrings.xml><?xml version="1.0" encoding="utf-8"?>
<sst xmlns="http://schemas.openxmlformats.org/spreadsheetml/2006/main" count="176" uniqueCount="80">
  <si>
    <t>Capacidade = (2x(1.440 - tm)/(ti +te +tl)) * k</t>
  </si>
  <si>
    <t>Premissas:</t>
  </si>
  <si>
    <t xml:space="preserve"> minutos/dia</t>
  </si>
  <si>
    <t>Atraso sobre a velocidade de viagem=</t>
  </si>
  <si>
    <t>tm =</t>
  </si>
  <si>
    <t xml:space="preserve"> min (tempo de manutenção da via/dia)</t>
  </si>
  <si>
    <t>Pares de trens/dia de outros trens =</t>
  </si>
  <si>
    <t xml:space="preserve">    ti e te = tempo de viagem sentido importação e exportação</t>
  </si>
  <si>
    <t>Comprimento do trem =</t>
  </si>
  <si>
    <t xml:space="preserve">           Tl=</t>
  </si>
  <si>
    <t xml:space="preserve">min (tempo de licenciamento) </t>
  </si>
  <si>
    <t>Comprimento mínimo do desvio de cruzamento =</t>
  </si>
  <si>
    <t xml:space="preserve">           k =</t>
  </si>
  <si>
    <t>Pátios</t>
  </si>
  <si>
    <t>Distância</t>
  </si>
  <si>
    <t>Extensão dos Desvios</t>
  </si>
  <si>
    <t>Parada do Trem</t>
  </si>
  <si>
    <t>Extensão entre Paradas</t>
  </si>
  <si>
    <t>Velocidade de Marcha Autorizada</t>
  </si>
  <si>
    <t>Tempo de Percurso</t>
  </si>
  <si>
    <t>Tempo e Velocidade Médias de Viagem</t>
  </si>
  <si>
    <t>Atraso</t>
  </si>
  <si>
    <t>Velocidade com Atraso</t>
  </si>
  <si>
    <t>Tempo</t>
  </si>
  <si>
    <t>Capacidade</t>
  </si>
  <si>
    <t>Programa de Trens</t>
  </si>
  <si>
    <t>Limite</t>
  </si>
  <si>
    <t xml:space="preserve">Centro </t>
  </si>
  <si>
    <t>Entre Pátios</t>
  </si>
  <si>
    <t>Importação</t>
  </si>
  <si>
    <t>Exportação</t>
  </si>
  <si>
    <t>Total</t>
  </si>
  <si>
    <t>sobre</t>
  </si>
  <si>
    <t>Ida + Volta</t>
  </si>
  <si>
    <t xml:space="preserve">trem/dia </t>
  </si>
  <si>
    <t>Pares de  trem/dia</t>
  </si>
  <si>
    <t>Outros - Pares de trem/dia</t>
  </si>
  <si>
    <t>Carga - Pares de trem/dia</t>
  </si>
  <si>
    <t>ti</t>
  </si>
  <si>
    <t>te</t>
  </si>
  <si>
    <t>ti + te</t>
  </si>
  <si>
    <t xml:space="preserve">Headway </t>
  </si>
  <si>
    <t>km</t>
  </si>
  <si>
    <t>m</t>
  </si>
  <si>
    <t>km/h</t>
  </si>
  <si>
    <t>min</t>
  </si>
  <si>
    <t xml:space="preserve"> Viagem</t>
  </si>
  <si>
    <t>hs</t>
  </si>
  <si>
    <t>Socompa</t>
  </si>
  <si>
    <t>Monturaqui</t>
  </si>
  <si>
    <t>Neurara</t>
  </si>
  <si>
    <t>Casa di Piedra</t>
  </si>
  <si>
    <t>Pan de Azucar</t>
  </si>
  <si>
    <t>Imilac</t>
  </si>
  <si>
    <t>Adolfo Zaldivar</t>
  </si>
  <si>
    <t>Augusta Victoria</t>
  </si>
  <si>
    <t>Total de pares de trens/dia =</t>
  </si>
  <si>
    <t>Limite pares de trens/dia =</t>
  </si>
  <si>
    <t>Peso médio do trem (t) =</t>
  </si>
  <si>
    <t>Número de dias por ano =</t>
  </si>
  <si>
    <t>Capacidade (milhões de toneladas/ano) =</t>
  </si>
  <si>
    <t>Com sazonalidade</t>
  </si>
  <si>
    <t>Cerro Negro</t>
  </si>
  <si>
    <t>Palestina</t>
  </si>
  <si>
    <t>Llanos</t>
  </si>
  <si>
    <t>Lata</t>
  </si>
  <si>
    <t>O'Higgins</t>
  </si>
  <si>
    <t>Portezuelo</t>
  </si>
  <si>
    <t>La Negra</t>
  </si>
  <si>
    <t>Antofagasta</t>
  </si>
  <si>
    <t>TABELA 5.6.63.8 // Plano de Vias Trecho Augusta Victoria - Antofagasta (FCAB) - Horizontes de 2015 a 2045</t>
  </si>
  <si>
    <t>TABELA 5.6.63.7 // Plano de Vias Trecho Socompa - Augusta Victoria (Ferronor) - Horizontes de 2015 a 2045</t>
  </si>
  <si>
    <t>Atraso sobre a velocidade de viagem =</t>
  </si>
  <si>
    <t>a Vel. de</t>
  </si>
  <si>
    <t>Alcalde Poblete</t>
  </si>
  <si>
    <t>% Fator da Fórmula de Colson (disponibilidade x utilização)</t>
  </si>
  <si>
    <t>km Inicial</t>
  </si>
  <si>
    <t>km Final</t>
  </si>
  <si>
    <t>a Vel.de</t>
  </si>
  <si>
    <t xml:space="preserve">  Enefer - Consultoria, Projetos Ltda.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</si>
</sst>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0.000"/>
    <numFmt numFmtId="166" formatCode="0.0"/>
    <numFmt numFmtId="167" formatCode="#,##0.0"/>
  </numFmts>
  <fonts count="9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sz val="10"/>
      <name val="Geneva"/>
    </font>
    <font>
      <b/>
      <sz val="12"/>
      <color theme="6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0" fontId="7" fillId="0" borderId="0" applyFont="0" applyFill="0" applyBorder="0" applyAlignment="0" applyProtection="0"/>
    <xf numFmtId="0" fontId="1" fillId="0" borderId="0"/>
  </cellStyleXfs>
  <cellXfs count="83">
    <xf numFmtId="0" fontId="0" fillId="0" borderId="0" xfId="0"/>
    <xf numFmtId="0" fontId="2" fillId="2" borderId="0" xfId="0" applyFont="1" applyFill="1" applyBorder="1"/>
    <xf numFmtId="0" fontId="5" fillId="2" borderId="0" xfId="0" applyFont="1" applyFill="1" applyBorder="1"/>
    <xf numFmtId="0" fontId="4" fillId="2" borderId="0" xfId="0" applyFont="1" applyFill="1" applyBorder="1" applyAlignment="1">
      <alignment horizontal="left"/>
    </xf>
    <xf numFmtId="1" fontId="2" fillId="2" borderId="0" xfId="0" applyNumberFormat="1" applyFont="1" applyFill="1" applyBorder="1"/>
    <xf numFmtId="3" fontId="2" fillId="2" borderId="0" xfId="0" applyNumberFormat="1" applyFont="1" applyFill="1" applyBorder="1"/>
    <xf numFmtId="9" fontId="2" fillId="2" borderId="0" xfId="0" applyNumberFormat="1" applyFont="1" applyFill="1" applyBorder="1"/>
    <xf numFmtId="1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/>
    <xf numFmtId="2" fontId="2" fillId="2" borderId="0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/>
    </xf>
    <xf numFmtId="1" fontId="4" fillId="2" borderId="6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/>
    </xf>
    <xf numFmtId="165" fontId="2" fillId="2" borderId="0" xfId="0" applyNumberFormat="1" applyFont="1" applyFill="1" applyBorder="1" applyAlignment="1">
      <alignment horizontal="right" vertical="center"/>
    </xf>
    <xf numFmtId="2" fontId="2" fillId="2" borderId="0" xfId="0" applyNumberFormat="1" applyFont="1" applyFill="1" applyBorder="1" applyAlignment="1">
      <alignment horizontal="right"/>
    </xf>
    <xf numFmtId="4" fontId="2" fillId="2" borderId="0" xfId="0" applyNumberFormat="1" applyFont="1" applyFill="1" applyBorder="1" applyAlignment="1">
      <alignment horizontal="right"/>
    </xf>
    <xf numFmtId="166" fontId="2" fillId="2" borderId="0" xfId="0" applyNumberFormat="1" applyFont="1" applyFill="1" applyBorder="1"/>
    <xf numFmtId="165" fontId="2" fillId="2" borderId="0" xfId="0" applyNumberFormat="1" applyFont="1" applyFill="1" applyBorder="1"/>
    <xf numFmtId="4" fontId="2" fillId="2" borderId="0" xfId="0" applyNumberFormat="1" applyFont="1" applyFill="1" applyBorder="1"/>
    <xf numFmtId="167" fontId="2" fillId="2" borderId="0" xfId="0" applyNumberFormat="1" applyFont="1" applyFill="1" applyBorder="1"/>
    <xf numFmtId="165" fontId="6" fillId="2" borderId="0" xfId="0" applyNumberFormat="1" applyFont="1" applyFill="1" applyBorder="1" applyAlignment="1">
      <alignment horizontal="right"/>
    </xf>
    <xf numFmtId="165" fontId="6" fillId="2" borderId="0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Border="1"/>
    <xf numFmtId="165" fontId="2" fillId="2" borderId="6" xfId="0" applyNumberFormat="1" applyFont="1" applyFill="1" applyBorder="1" applyAlignment="1">
      <alignment horizontal="right"/>
    </xf>
    <xf numFmtId="4" fontId="2" fillId="2" borderId="6" xfId="0" applyNumberFormat="1" applyFont="1" applyFill="1" applyBorder="1" applyAlignment="1">
      <alignment horizontal="right"/>
    </xf>
    <xf numFmtId="164" fontId="2" fillId="2" borderId="6" xfId="0" applyNumberFormat="1" applyFont="1" applyFill="1" applyBorder="1"/>
    <xf numFmtId="0" fontId="2" fillId="2" borderId="6" xfId="0" applyFont="1" applyFill="1" applyBorder="1"/>
    <xf numFmtId="166" fontId="2" fillId="2" borderId="6" xfId="0" applyNumberFormat="1" applyFont="1" applyFill="1" applyBorder="1"/>
    <xf numFmtId="2" fontId="2" fillId="2" borderId="6" xfId="0" applyNumberFormat="1" applyFont="1" applyFill="1" applyBorder="1"/>
    <xf numFmtId="167" fontId="2" fillId="2" borderId="6" xfId="0" applyNumberFormat="1" applyFont="1" applyFill="1" applyBorder="1"/>
    <xf numFmtId="165" fontId="3" fillId="2" borderId="0" xfId="0" applyNumberFormat="1" applyFont="1" applyFill="1" applyBorder="1" applyAlignment="1">
      <alignment horizontal="right"/>
    </xf>
    <xf numFmtId="4" fontId="3" fillId="2" borderId="0" xfId="0" applyNumberFormat="1" applyFont="1" applyFill="1" applyBorder="1" applyAlignment="1">
      <alignment horizontal="right"/>
    </xf>
    <xf numFmtId="165" fontId="5" fillId="2" borderId="0" xfId="0" applyNumberFormat="1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right"/>
    </xf>
    <xf numFmtId="164" fontId="5" fillId="2" borderId="0" xfId="0" applyNumberFormat="1" applyFont="1" applyFill="1" applyBorder="1"/>
    <xf numFmtId="166" fontId="5" fillId="2" borderId="0" xfId="0" applyNumberFormat="1" applyFont="1" applyFill="1" applyBorder="1"/>
    <xf numFmtId="0" fontId="2" fillId="2" borderId="5" xfId="0" applyFont="1" applyFill="1" applyBorder="1"/>
    <xf numFmtId="0" fontId="4" fillId="2" borderId="0" xfId="0" applyFont="1" applyFill="1" applyBorder="1"/>
    <xf numFmtId="167" fontId="4" fillId="2" borderId="0" xfId="0" applyNumberFormat="1" applyFont="1" applyFill="1" applyBorder="1"/>
    <xf numFmtId="9" fontId="4" fillId="2" borderId="0" xfId="0" applyNumberFormat="1" applyFont="1" applyFill="1" applyBorder="1"/>
    <xf numFmtId="0" fontId="2" fillId="0" borderId="0" xfId="0" applyFont="1"/>
    <xf numFmtId="0" fontId="4" fillId="0" borderId="0" xfId="0" applyFont="1"/>
    <xf numFmtId="9" fontId="4" fillId="0" borderId="0" xfId="0" applyNumberFormat="1" applyFont="1" applyFill="1"/>
    <xf numFmtId="0" fontId="4" fillId="0" borderId="0" xfId="0" applyFont="1" applyFill="1"/>
    <xf numFmtId="167" fontId="4" fillId="0" borderId="0" xfId="0" applyNumberFormat="1" applyFont="1" applyFill="1"/>
    <xf numFmtId="1" fontId="4" fillId="2" borderId="0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/>
    <xf numFmtId="0" fontId="2" fillId="2" borderId="1" xfId="0" applyFont="1" applyFill="1" applyBorder="1"/>
    <xf numFmtId="166" fontId="2" fillId="2" borderId="1" xfId="0" applyNumberFormat="1" applyFont="1" applyFill="1" applyBorder="1"/>
    <xf numFmtId="2" fontId="2" fillId="2" borderId="1" xfId="0" applyNumberFormat="1" applyFont="1" applyFill="1" applyBorder="1"/>
    <xf numFmtId="167" fontId="2" fillId="2" borderId="1" xfId="0" applyNumberFormat="1" applyFont="1" applyFill="1" applyBorder="1"/>
    <xf numFmtId="2" fontId="2" fillId="2" borderId="6" xfId="0" applyNumberFormat="1" applyFont="1" applyFill="1" applyBorder="1" applyAlignment="1">
      <alignment horizontal="right"/>
    </xf>
    <xf numFmtId="2" fontId="3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" vertical="center"/>
    </xf>
    <xf numFmtId="0" fontId="8" fillId="2" borderId="0" xfId="0" applyFont="1" applyFill="1" applyBorder="1"/>
    <xf numFmtId="0" fontId="4" fillId="2" borderId="3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/>
    </xf>
    <xf numFmtId="1" fontId="4" fillId="2" borderId="3" xfId="0" applyNumberFormat="1" applyFont="1" applyFill="1" applyBorder="1" applyAlignment="1">
      <alignment horizontal="center" wrapText="1"/>
    </xf>
    <xf numFmtId="1" fontId="4" fillId="2" borderId="5" xfId="0" applyNumberFormat="1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vertical="center"/>
    </xf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lientes%202010%20e%202011/BNDES%20%20Bioce&#226;nico/ETAPA%202/CAP&#205;TULOS/Produto%209%20Custos/Custos%20CVLP%20%20Paranagu&#225;%20Antofagasta%2013.04.1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atamares"/>
      <sheetName val="Frota Trem Atual"/>
      <sheetName val="Frota Trem"/>
      <sheetName val="Premissas"/>
      <sheetName val="Opex Resumo 45"/>
      <sheetName val="Opex Resumo 30"/>
      <sheetName val="Opex Resumo 15"/>
      <sheetName val="Opex Resumo 10"/>
      <sheetName val="Opex Res Br"/>
      <sheetName val="Opex Res Par"/>
      <sheetName val="Opex Res Arg"/>
      <sheetName val="Opex Res Chi"/>
      <sheetName val="Opex Res Cor"/>
      <sheetName val="Opex Res Geral"/>
      <sheetName val="Invest Repos"/>
      <sheetName val="Reposição"/>
      <sheetName val="Distancias"/>
      <sheetName val="Demandas"/>
      <sheetName val="Trens Tipos e Ciclos"/>
      <sheetName val="Frotas"/>
      <sheetName val="Invest Frotas"/>
      <sheetName val="Invest Frotas (2)"/>
      <sheetName val="Resumo Cap x Prod"/>
      <sheetName val="Invest Plano de Vias"/>
      <sheetName val="Resumo PL "/>
      <sheetName val="Plano de Vias BR 2010"/>
      <sheetName val="Plano de Vias BR 2045"/>
      <sheetName val="Plano de Vias Var BR 2045"/>
      <sheetName val="Plano de Vias PA 2045"/>
      <sheetName val="Plano de Vias Ar 2010"/>
      <sheetName val="Plano de Vias Ar 2045"/>
      <sheetName val="Plano de Vias Ch 2010"/>
      <sheetName val="Plano de Vias Ch 2045"/>
      <sheetName val="Terminais"/>
      <sheetName val="Equipagem"/>
      <sheetName val="Diesel 3"/>
      <sheetName val="Diesel 2"/>
      <sheetName val="Diesel 1"/>
      <sheetName val="Loco Manu 2"/>
      <sheetName val="Loco Manu 1"/>
      <sheetName val="Vagão Manu 2"/>
      <sheetName val="Vagão Man 1"/>
      <sheetName val="Loco e Vag Manut "/>
      <sheetName val="Seguro de Frotas"/>
      <sheetName val="Sinal Manut"/>
      <sheetName val="Extensão de Vias"/>
      <sheetName val="Via Perm Manut 10"/>
      <sheetName val="Via Perm Manut 15"/>
      <sheetName val="Outros Cus Oper"/>
      <sheetName val="Custos Des Gerais"/>
      <sheetName val="Desp Adm e Comer"/>
      <sheetName val="Efetivo de Pessoal"/>
      <sheetName val="Trilhos ALL"/>
      <sheetName val="Res Normal"/>
      <sheetName val="Parametros"/>
      <sheetName val="Custo trem 10"/>
      <sheetName val="Opex + Capital"/>
      <sheetName val="Check List"/>
      <sheetName val="Calculation"/>
    </sheetNames>
    <sheetDataSet>
      <sheetData sheetId="0"/>
      <sheetData sheetId="1"/>
      <sheetData sheetId="2"/>
      <sheetData sheetId="3">
        <row r="102">
          <cell r="N102">
            <v>95</v>
          </cell>
          <cell r="O102">
            <v>95</v>
          </cell>
        </row>
        <row r="104">
          <cell r="N104">
            <v>80</v>
          </cell>
          <cell r="O104">
            <v>80</v>
          </cell>
        </row>
        <row r="106">
          <cell r="N106">
            <v>5</v>
          </cell>
          <cell r="O106">
            <v>5</v>
          </cell>
        </row>
        <row r="108">
          <cell r="N108">
            <v>120</v>
          </cell>
          <cell r="O108">
            <v>120</v>
          </cell>
        </row>
        <row r="109">
          <cell r="C109">
            <v>65.67</v>
          </cell>
        </row>
        <row r="110">
          <cell r="C110">
            <v>80</v>
          </cell>
        </row>
        <row r="112">
          <cell r="N112">
            <v>15</v>
          </cell>
          <cell r="O112">
            <v>10</v>
          </cell>
        </row>
        <row r="114">
          <cell r="N114">
            <v>0</v>
          </cell>
          <cell r="O114">
            <v>0</v>
          </cell>
        </row>
        <row r="115">
          <cell r="N115">
            <v>1</v>
          </cell>
          <cell r="O115">
            <v>1</v>
          </cell>
        </row>
        <row r="116">
          <cell r="N116">
            <v>0</v>
          </cell>
          <cell r="O116">
            <v>0</v>
          </cell>
        </row>
        <row r="117">
          <cell r="N117">
            <v>10</v>
          </cell>
          <cell r="O117">
            <v>10</v>
          </cell>
        </row>
        <row r="124">
          <cell r="N124">
            <v>330</v>
          </cell>
          <cell r="O124">
            <v>330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49">
          <cell r="N149">
            <v>1404</v>
          </cell>
          <cell r="O149">
            <v>2106</v>
          </cell>
        </row>
        <row r="152">
          <cell r="N152">
            <v>444</v>
          </cell>
          <cell r="O152">
            <v>656</v>
          </cell>
        </row>
        <row r="153">
          <cell r="N153">
            <v>655.34</v>
          </cell>
          <cell r="O153">
            <v>867.34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X81"/>
  <sheetViews>
    <sheetView tabSelected="1" zoomScale="94" zoomScaleNormal="94" workbookViewId="0">
      <selection activeCell="A3" sqref="A3"/>
    </sheetView>
  </sheetViews>
  <sheetFormatPr defaultRowHeight="15"/>
  <cols>
    <col min="1" max="1" width="23" style="47" customWidth="1"/>
    <col min="2" max="2" width="11.28515625" style="47" customWidth="1"/>
    <col min="3" max="3" width="11" style="47" customWidth="1"/>
    <col min="4" max="4" width="9.42578125" style="47" customWidth="1"/>
    <col min="5" max="5" width="12" style="47" customWidth="1"/>
    <col min="6" max="6" width="11.5703125" style="47" customWidth="1"/>
    <col min="7" max="7" width="13.42578125" style="47" customWidth="1"/>
    <col min="8" max="8" width="13.28515625" style="47" customWidth="1"/>
    <col min="9" max="9" width="13" style="47" customWidth="1"/>
    <col min="10" max="10" width="14" style="47" customWidth="1"/>
    <col min="11" max="11" width="13.85546875" style="47" customWidth="1"/>
    <col min="12" max="12" width="11.42578125" style="47" customWidth="1"/>
    <col min="13" max="13" width="13.85546875" style="47" customWidth="1"/>
    <col min="14" max="14" width="13.42578125" style="47" customWidth="1"/>
    <col min="15" max="15" width="8.28515625" style="47" customWidth="1"/>
    <col min="16" max="16" width="7.140625" style="47" customWidth="1"/>
    <col min="17" max="17" width="10.42578125" style="47" customWidth="1"/>
    <col min="18" max="18" width="13.85546875" style="47" customWidth="1"/>
    <col min="19" max="19" width="14.28515625" style="47" customWidth="1"/>
    <col min="20" max="20" width="9.7109375" style="47" customWidth="1"/>
    <col min="21" max="21" width="10.7109375" style="47" customWidth="1"/>
    <col min="22" max="22" width="11.28515625" style="47" customWidth="1"/>
    <col min="23" max="23" width="12.140625" style="47" customWidth="1"/>
    <col min="24" max="24" width="8.140625" style="47" customWidth="1"/>
  </cols>
  <sheetData>
    <row r="2" spans="1:24" ht="15.75">
      <c r="A2" s="1"/>
      <c r="B2" s="64" t="s">
        <v>71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5.75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2"/>
      <c r="Q3" s="2"/>
      <c r="R3" s="2"/>
      <c r="S3" s="2"/>
      <c r="T3" s="2"/>
      <c r="U3" s="2"/>
      <c r="V3" s="2"/>
      <c r="W3" s="2"/>
      <c r="X3" s="2"/>
    </row>
    <row r="4" spans="1:24">
      <c r="A4" s="1"/>
      <c r="B4" s="1" t="s">
        <v>0</v>
      </c>
      <c r="C4" s="1"/>
      <c r="D4" s="1"/>
      <c r="E4" s="4"/>
      <c r="F4" s="1"/>
      <c r="G4" s="1"/>
      <c r="H4" s="1"/>
      <c r="I4" s="1"/>
      <c r="J4" s="1"/>
      <c r="K4" s="1"/>
      <c r="L4" s="1"/>
      <c r="M4" s="1"/>
      <c r="N4" s="1"/>
      <c r="O4" s="1"/>
      <c r="P4" s="1" t="s">
        <v>1</v>
      </c>
      <c r="Q4" s="1"/>
      <c r="R4" s="1"/>
      <c r="S4" s="1"/>
      <c r="T4" s="1"/>
      <c r="U4" s="1"/>
      <c r="V4" s="1"/>
      <c r="W4" s="1"/>
      <c r="X4" s="1"/>
    </row>
    <row r="5" spans="1:24">
      <c r="A5" s="1"/>
      <c r="B5" s="4"/>
      <c r="C5" s="5">
        <v>1440</v>
      </c>
      <c r="D5" s="1" t="s">
        <v>2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 t="s">
        <v>72</v>
      </c>
      <c r="Q5" s="1"/>
      <c r="R5" s="1"/>
      <c r="S5" s="1"/>
      <c r="T5" s="1"/>
      <c r="U5" s="6">
        <f>[4]Premissas!N112/100</f>
        <v>0.15</v>
      </c>
      <c r="V5" s="1"/>
      <c r="W5" s="1"/>
      <c r="X5" s="1"/>
    </row>
    <row r="6" spans="1:24">
      <c r="A6" s="1"/>
      <c r="B6" s="7" t="s">
        <v>4</v>
      </c>
      <c r="C6" s="1">
        <f>+[4]Premissas!N108</f>
        <v>120</v>
      </c>
      <c r="D6" s="1" t="s">
        <v>5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 t="s">
        <v>6</v>
      </c>
      <c r="Q6" s="1"/>
      <c r="R6" s="1"/>
      <c r="S6" s="1"/>
      <c r="T6" s="1"/>
      <c r="U6" s="1">
        <f>+[4]Premissas!N114+[4]Premissas!N115+[4]Premissas!N116</f>
        <v>1</v>
      </c>
      <c r="V6" s="1"/>
      <c r="W6" s="1"/>
      <c r="X6" s="1"/>
    </row>
    <row r="7" spans="1:24">
      <c r="A7" s="1"/>
      <c r="B7" s="4" t="s">
        <v>7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 t="s">
        <v>8</v>
      </c>
      <c r="Q7" s="1"/>
      <c r="R7" s="1"/>
      <c r="S7" s="1"/>
      <c r="T7" s="1"/>
      <c r="U7" s="8">
        <f>+[4]Frotas!N152</f>
        <v>444</v>
      </c>
      <c r="V7" s="1"/>
      <c r="W7" s="1"/>
      <c r="X7" s="1"/>
    </row>
    <row r="8" spans="1:24">
      <c r="A8" s="1"/>
      <c r="B8" s="4" t="s">
        <v>9</v>
      </c>
      <c r="C8" s="1">
        <f>+[4]Premissas!N106</f>
        <v>5</v>
      </c>
      <c r="D8" s="1" t="s">
        <v>10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 t="s">
        <v>11</v>
      </c>
      <c r="Q8" s="1"/>
      <c r="R8" s="1"/>
      <c r="S8" s="1"/>
      <c r="T8" s="1"/>
      <c r="U8" s="8">
        <f>+[4]Frotas!N153</f>
        <v>655.34</v>
      </c>
      <c r="V8" s="1"/>
      <c r="W8" s="1"/>
      <c r="X8" s="1"/>
    </row>
    <row r="9" spans="1:24">
      <c r="A9" s="1"/>
      <c r="B9" s="4" t="s">
        <v>12</v>
      </c>
      <c r="C9" s="9">
        <f>+([4]Premissas!N102*[4]Premissas!N104)/100</f>
        <v>76</v>
      </c>
      <c r="D9" s="1" t="s">
        <v>75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15.75" thickBot="1">
      <c r="A10" s="1"/>
      <c r="B10" s="1"/>
      <c r="C10" s="1"/>
      <c r="D10" s="1"/>
      <c r="E10" s="4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5.75">
      <c r="A11" s="70" t="s">
        <v>13</v>
      </c>
      <c r="B11" s="69" t="s">
        <v>14</v>
      </c>
      <c r="C11" s="69"/>
      <c r="D11" s="69"/>
      <c r="E11" s="69"/>
      <c r="F11" s="73" t="s">
        <v>15</v>
      </c>
      <c r="G11" s="69" t="s">
        <v>16</v>
      </c>
      <c r="H11" s="69"/>
      <c r="I11" s="69" t="s">
        <v>17</v>
      </c>
      <c r="J11" s="69"/>
      <c r="K11" s="73" t="s">
        <v>18</v>
      </c>
      <c r="L11" s="73" t="s">
        <v>19</v>
      </c>
      <c r="M11" s="76" t="s">
        <v>20</v>
      </c>
      <c r="N11" s="76"/>
      <c r="O11" s="76"/>
      <c r="P11" s="76"/>
      <c r="Q11" s="10" t="s">
        <v>21</v>
      </c>
      <c r="R11" s="67" t="s">
        <v>22</v>
      </c>
      <c r="S11" s="10" t="s">
        <v>23</v>
      </c>
      <c r="T11" s="69" t="s">
        <v>24</v>
      </c>
      <c r="U11" s="69"/>
      <c r="V11" s="69" t="s">
        <v>25</v>
      </c>
      <c r="W11" s="69"/>
      <c r="X11" s="70" t="s">
        <v>26</v>
      </c>
    </row>
    <row r="12" spans="1:24" ht="15.75">
      <c r="A12" s="71"/>
      <c r="B12" s="72" t="s">
        <v>76</v>
      </c>
      <c r="C12" s="72" t="s">
        <v>77</v>
      </c>
      <c r="D12" s="72" t="s">
        <v>27</v>
      </c>
      <c r="E12" s="79" t="s">
        <v>28</v>
      </c>
      <c r="F12" s="74"/>
      <c r="G12" s="72" t="s">
        <v>29</v>
      </c>
      <c r="H12" s="72" t="s">
        <v>30</v>
      </c>
      <c r="I12" s="72" t="s">
        <v>29</v>
      </c>
      <c r="J12" s="72" t="s">
        <v>30</v>
      </c>
      <c r="K12" s="74"/>
      <c r="L12" s="74"/>
      <c r="M12" s="11" t="s">
        <v>29</v>
      </c>
      <c r="N12" s="11" t="s">
        <v>30</v>
      </c>
      <c r="O12" s="78" t="s">
        <v>31</v>
      </c>
      <c r="P12" s="78"/>
      <c r="Q12" s="12" t="s">
        <v>32</v>
      </c>
      <c r="R12" s="66"/>
      <c r="S12" s="12" t="s">
        <v>33</v>
      </c>
      <c r="T12" s="72" t="s">
        <v>34</v>
      </c>
      <c r="U12" s="65" t="s">
        <v>35</v>
      </c>
      <c r="V12" s="65" t="s">
        <v>36</v>
      </c>
      <c r="W12" s="65" t="s">
        <v>37</v>
      </c>
      <c r="X12" s="71"/>
    </row>
    <row r="13" spans="1:24" ht="15.75">
      <c r="A13" s="71"/>
      <c r="B13" s="77"/>
      <c r="C13" s="77"/>
      <c r="D13" s="77"/>
      <c r="E13" s="80"/>
      <c r="F13" s="75"/>
      <c r="G13" s="77"/>
      <c r="H13" s="77"/>
      <c r="I13" s="77"/>
      <c r="J13" s="77"/>
      <c r="K13" s="75"/>
      <c r="L13" s="75"/>
      <c r="M13" s="11" t="s">
        <v>38</v>
      </c>
      <c r="N13" s="11" t="s">
        <v>39</v>
      </c>
      <c r="O13" s="11" t="s">
        <v>40</v>
      </c>
      <c r="P13" s="11" t="s">
        <v>40</v>
      </c>
      <c r="Q13" s="12" t="s">
        <v>73</v>
      </c>
      <c r="R13" s="68"/>
      <c r="S13" s="13" t="s">
        <v>41</v>
      </c>
      <c r="T13" s="71"/>
      <c r="U13" s="66"/>
      <c r="V13" s="66"/>
      <c r="W13" s="66"/>
      <c r="X13" s="71"/>
    </row>
    <row r="14" spans="1:24" ht="16.5" thickBot="1">
      <c r="A14" s="82"/>
      <c r="B14" s="14" t="s">
        <v>42</v>
      </c>
      <c r="C14" s="14" t="s">
        <v>42</v>
      </c>
      <c r="D14" s="15" t="s">
        <v>42</v>
      </c>
      <c r="E14" s="16" t="s">
        <v>42</v>
      </c>
      <c r="F14" s="15" t="s">
        <v>43</v>
      </c>
      <c r="G14" s="15" t="s">
        <v>42</v>
      </c>
      <c r="H14" s="15" t="s">
        <v>42</v>
      </c>
      <c r="I14" s="15" t="s">
        <v>42</v>
      </c>
      <c r="J14" s="15" t="s">
        <v>42</v>
      </c>
      <c r="K14" s="15" t="s">
        <v>44</v>
      </c>
      <c r="L14" s="15" t="s">
        <v>45</v>
      </c>
      <c r="M14" s="15" t="s">
        <v>45</v>
      </c>
      <c r="N14" s="15" t="s">
        <v>45</v>
      </c>
      <c r="O14" s="15" t="s">
        <v>45</v>
      </c>
      <c r="P14" s="15" t="s">
        <v>44</v>
      </c>
      <c r="Q14" s="15" t="s">
        <v>46</v>
      </c>
      <c r="R14" s="15" t="s">
        <v>44</v>
      </c>
      <c r="S14" s="15" t="s">
        <v>47</v>
      </c>
      <c r="T14" s="82"/>
      <c r="U14" s="81"/>
      <c r="V14" s="81"/>
      <c r="W14" s="81"/>
      <c r="X14" s="82"/>
    </row>
    <row r="15" spans="1:24" ht="15.75">
      <c r="A15" s="17" t="s">
        <v>48</v>
      </c>
      <c r="B15" s="18">
        <v>570.4</v>
      </c>
      <c r="C15" s="19">
        <f>571</f>
        <v>571</v>
      </c>
      <c r="D15" s="18">
        <f>((C15-B15)/2)+B15</f>
        <v>570.70000000000005</v>
      </c>
      <c r="E15" s="20"/>
      <c r="F15" s="21">
        <f>+(C15-B15)*1000</f>
        <v>600.00000000002274</v>
      </c>
      <c r="G15" s="8">
        <f>+B15+([4]Premissas!$C$109/1000+[4]Premissas!$C$110/1000/2)</f>
        <v>570.50567000000001</v>
      </c>
      <c r="H15" s="8">
        <f>+C15-([4]Premissas!$C$109/1000+[4]Premissas!$C$110/1000/2)</f>
        <v>570.89432999999997</v>
      </c>
      <c r="I15" s="1"/>
      <c r="J15" s="1"/>
      <c r="K15" s="22"/>
      <c r="L15" s="22"/>
      <c r="M15" s="1"/>
      <c r="N15" s="1"/>
      <c r="O15" s="1"/>
      <c r="P15" s="9"/>
      <c r="Q15" s="6"/>
      <c r="R15" s="9"/>
      <c r="S15" s="23"/>
      <c r="T15" s="22"/>
      <c r="U15" s="1"/>
      <c r="V15" s="22"/>
      <c r="W15" s="1"/>
      <c r="X15" s="1"/>
    </row>
    <row r="16" spans="1:24" ht="15.75">
      <c r="A16" s="12"/>
      <c r="B16" s="18"/>
      <c r="C16" s="19"/>
      <c r="D16" s="18"/>
      <c r="E16" s="18">
        <f>+B17-C15</f>
        <v>24.100000000000023</v>
      </c>
      <c r="F16" s="24"/>
      <c r="G16" s="1"/>
      <c r="H16" s="1"/>
      <c r="I16" s="8">
        <f>G17-G15</f>
        <v>24.700000000000045</v>
      </c>
      <c r="J16" s="8">
        <f>H17-H15</f>
        <v>24.700000000000045</v>
      </c>
      <c r="K16" s="22">
        <v>30</v>
      </c>
      <c r="L16" s="22">
        <f>(E16/K16)*60</f>
        <v>48.200000000000045</v>
      </c>
      <c r="M16" s="9">
        <f>+I16/K16*60</f>
        <v>49.400000000000091</v>
      </c>
      <c r="N16" s="9">
        <f>+J16/K16*60</f>
        <v>49.400000000000091</v>
      </c>
      <c r="O16" s="9">
        <f>+N16+M16</f>
        <v>98.800000000000182</v>
      </c>
      <c r="P16" s="9">
        <f>+(I16+J16)/(O16/60)</f>
        <v>30</v>
      </c>
      <c r="Q16" s="6">
        <f>+U5</f>
        <v>0.15</v>
      </c>
      <c r="R16" s="9">
        <f>+P16-(P16*Q16)</f>
        <v>25.5</v>
      </c>
      <c r="S16" s="23">
        <f>+(I16+J16)/R16</f>
        <v>1.9372549019607879</v>
      </c>
      <c r="T16" s="22">
        <f>+(2*($C$5-$C$6)/(S16*60+$C$8))*$C$9/100</f>
        <v>16.549636098981047</v>
      </c>
      <c r="U16" s="22">
        <f>+T16/2</f>
        <v>8.2748180494905235</v>
      </c>
      <c r="V16" s="22">
        <f>+U6</f>
        <v>1</v>
      </c>
      <c r="W16" s="25">
        <f>+U16-V16</f>
        <v>7.2748180494905235</v>
      </c>
      <c r="X16" s="24"/>
    </row>
    <row r="17" spans="1:24" ht="15.75">
      <c r="A17" s="17" t="s">
        <v>49</v>
      </c>
      <c r="B17" s="18">
        <v>595.1</v>
      </c>
      <c r="C17" s="18">
        <v>595.70000000000005</v>
      </c>
      <c r="D17" s="18">
        <f>((C17-B17)/2)+B17</f>
        <v>595.40000000000009</v>
      </c>
      <c r="E17" s="18"/>
      <c r="F17" s="21">
        <f>+(C17-B17)*1000</f>
        <v>600.00000000002274</v>
      </c>
      <c r="G17" s="8">
        <f>+B17+([4]Premissas!$C$109/1000+[4]Premissas!$C$110/1000/2)</f>
        <v>595.20567000000005</v>
      </c>
      <c r="H17" s="8">
        <f>+C17-([4]Premissas!$C$109/1000+[4]Premissas!$C$110/1000/2)</f>
        <v>595.59433000000001</v>
      </c>
      <c r="I17" s="1"/>
      <c r="J17" s="1"/>
      <c r="K17" s="22"/>
      <c r="L17" s="22"/>
      <c r="M17" s="1"/>
      <c r="N17" s="1"/>
      <c r="O17" s="1"/>
      <c r="P17" s="9"/>
      <c r="Q17" s="6"/>
      <c r="R17" s="9"/>
      <c r="S17" s="23"/>
      <c r="T17" s="22"/>
      <c r="U17" s="22"/>
      <c r="V17" s="22"/>
      <c r="W17" s="25"/>
      <c r="X17" s="1"/>
    </row>
    <row r="18" spans="1:24" ht="15.75">
      <c r="A18" s="12"/>
      <c r="B18" s="26"/>
      <c r="C18" s="27"/>
      <c r="D18" s="18"/>
      <c r="E18" s="18">
        <f>+B19-C17</f>
        <v>23.899999999999977</v>
      </c>
      <c r="F18" s="24"/>
      <c r="G18" s="1"/>
      <c r="H18" s="1"/>
      <c r="I18" s="8">
        <f>G19-G17</f>
        <v>24.5</v>
      </c>
      <c r="J18" s="8">
        <f>H19-H17</f>
        <v>24.5</v>
      </c>
      <c r="K18" s="22">
        <v>30</v>
      </c>
      <c r="L18" s="22">
        <f>(E18/K18)*60</f>
        <v>47.799999999999955</v>
      </c>
      <c r="M18" s="9">
        <f>+I18/K18*60</f>
        <v>49</v>
      </c>
      <c r="N18" s="9">
        <f>+J18/K18*60</f>
        <v>49</v>
      </c>
      <c r="O18" s="9">
        <f>+N18+M18</f>
        <v>98</v>
      </c>
      <c r="P18" s="9">
        <f>+(I18+J18)/(O18/60)</f>
        <v>30</v>
      </c>
      <c r="Q18" s="6">
        <f>+Q16</f>
        <v>0.15</v>
      </c>
      <c r="R18" s="9">
        <f>+P18-(P18*Q18)</f>
        <v>25.5</v>
      </c>
      <c r="S18" s="23">
        <f>+(I18+J18)/R18</f>
        <v>1.9215686274509804</v>
      </c>
      <c r="T18" s="22">
        <f>+(2*($C$5-$C$6)/(S18*60+$C$8))*$C$9/100</f>
        <v>16.679119804400976</v>
      </c>
      <c r="U18" s="22">
        <f>+T18/2</f>
        <v>8.339559902200488</v>
      </c>
      <c r="V18" s="22">
        <f>+V16</f>
        <v>1</v>
      </c>
      <c r="W18" s="25">
        <f>+U18-V18</f>
        <v>7.339559902200488</v>
      </c>
      <c r="X18" s="24"/>
    </row>
    <row r="19" spans="1:24" ht="15.75">
      <c r="A19" s="17" t="s">
        <v>50</v>
      </c>
      <c r="B19" s="18">
        <v>619.6</v>
      </c>
      <c r="C19" s="18">
        <v>620.20000000000005</v>
      </c>
      <c r="D19" s="18">
        <f>((C19-B19)/2)+B19</f>
        <v>619.90000000000009</v>
      </c>
      <c r="E19" s="18"/>
      <c r="F19" s="21">
        <f>+(C19-B19)*1000</f>
        <v>600.00000000002274</v>
      </c>
      <c r="G19" s="8">
        <f>+B19+([4]Premissas!$C$109/1000+[4]Premissas!$C$110/1000/2)</f>
        <v>619.70567000000005</v>
      </c>
      <c r="H19" s="8">
        <f>+C19-([4]Premissas!$C$109/1000+[4]Premissas!$C$110/1000/2)</f>
        <v>620.09433000000001</v>
      </c>
      <c r="I19" s="1"/>
      <c r="J19" s="1"/>
      <c r="K19" s="22"/>
      <c r="L19" s="22"/>
      <c r="M19" s="1"/>
      <c r="N19" s="1"/>
      <c r="O19" s="1"/>
      <c r="P19" s="9"/>
      <c r="Q19" s="6"/>
      <c r="R19" s="9"/>
      <c r="S19" s="23"/>
      <c r="T19" s="22"/>
      <c r="U19" s="22"/>
      <c r="V19" s="22"/>
      <c r="W19" s="25"/>
      <c r="X19" s="1"/>
    </row>
    <row r="20" spans="1:24" ht="15.75">
      <c r="A20" s="12"/>
      <c r="B20" s="18"/>
      <c r="C20" s="19"/>
      <c r="D20" s="18"/>
      <c r="E20" s="18">
        <f>+B21-C19</f>
        <v>13.399999999999977</v>
      </c>
      <c r="F20" s="24"/>
      <c r="G20" s="1"/>
      <c r="H20" s="1"/>
      <c r="I20" s="8">
        <f>G21-G19</f>
        <v>14</v>
      </c>
      <c r="J20" s="8">
        <f>H21-H19</f>
        <v>14</v>
      </c>
      <c r="K20" s="22">
        <v>30</v>
      </c>
      <c r="L20" s="22">
        <f>(E20/K20)*60</f>
        <v>26.799999999999955</v>
      </c>
      <c r="M20" s="9">
        <f>+I20/K20*60</f>
        <v>28</v>
      </c>
      <c r="N20" s="9">
        <f>+J20/K20*60</f>
        <v>28</v>
      </c>
      <c r="O20" s="9">
        <f>+N20+M20</f>
        <v>56</v>
      </c>
      <c r="P20" s="9">
        <f>+(I20+J20)/(O20/60)</f>
        <v>30</v>
      </c>
      <c r="Q20" s="6">
        <f>+Q18</f>
        <v>0.15</v>
      </c>
      <c r="R20" s="9">
        <f>+P20-(P20*Q20)</f>
        <v>25.5</v>
      </c>
      <c r="S20" s="23">
        <f>+(I20+J20)/R20</f>
        <v>1.0980392156862746</v>
      </c>
      <c r="T20" s="22">
        <f>+(2*($C$5-$C$6)/(S20*60+$C$8))*$C$9/100</f>
        <v>28.306058091286303</v>
      </c>
      <c r="U20" s="22">
        <f>+T20/2</f>
        <v>14.153029045643152</v>
      </c>
      <c r="V20" s="22">
        <f>+V18</f>
        <v>1</v>
      </c>
      <c r="W20" s="25">
        <f>+U20-V20</f>
        <v>13.153029045643152</v>
      </c>
      <c r="X20" s="28"/>
    </row>
    <row r="21" spans="1:24" ht="15.75">
      <c r="A21" s="17" t="s">
        <v>51</v>
      </c>
      <c r="B21" s="18">
        <v>633.6</v>
      </c>
      <c r="C21" s="18">
        <v>634.20000000000005</v>
      </c>
      <c r="D21" s="18">
        <f>((C21-B21)/2)+B21</f>
        <v>633.90000000000009</v>
      </c>
      <c r="E21" s="18"/>
      <c r="F21" s="21">
        <f>+(C21-B21)*1000</f>
        <v>600.00000000002274</v>
      </c>
      <c r="G21" s="8">
        <f>+B21+([4]Premissas!$C$109/1000+[4]Premissas!$C$110/1000/2)</f>
        <v>633.70567000000005</v>
      </c>
      <c r="H21" s="8">
        <f>+C21-([4]Premissas!$C$109/1000+[4]Premissas!$C$110/1000/2)</f>
        <v>634.09433000000001</v>
      </c>
      <c r="I21" s="1"/>
      <c r="J21" s="1"/>
      <c r="K21" s="22"/>
      <c r="L21" s="22"/>
      <c r="M21" s="1"/>
      <c r="N21" s="1"/>
      <c r="O21" s="1"/>
      <c r="P21" s="9"/>
      <c r="Q21" s="6"/>
      <c r="R21" s="9"/>
      <c r="S21" s="23"/>
      <c r="T21" s="22"/>
      <c r="U21" s="1"/>
      <c r="V21" s="22"/>
      <c r="W21" s="25"/>
      <c r="X21" s="1"/>
    </row>
    <row r="22" spans="1:24" ht="15.75">
      <c r="A22" s="12"/>
      <c r="B22" s="18"/>
      <c r="C22" s="19"/>
      <c r="D22" s="18"/>
      <c r="E22" s="18">
        <f>+B23-C21</f>
        <v>9.3999999999999773</v>
      </c>
      <c r="F22" s="24"/>
      <c r="G22" s="1"/>
      <c r="H22" s="1"/>
      <c r="I22" s="8">
        <f>G23-G21</f>
        <v>10</v>
      </c>
      <c r="J22" s="8">
        <f>H23-H21</f>
        <v>10</v>
      </c>
      <c r="K22" s="22">
        <v>30</v>
      </c>
      <c r="L22" s="22">
        <f>(E22/K22)*60</f>
        <v>18.799999999999955</v>
      </c>
      <c r="M22" s="9">
        <f>+I22/K22*60</f>
        <v>20</v>
      </c>
      <c r="N22" s="9">
        <f>+J22/K22*60</f>
        <v>20</v>
      </c>
      <c r="O22" s="9">
        <f>+N22+M22</f>
        <v>40</v>
      </c>
      <c r="P22" s="9">
        <f>+(I22+J22)/(O22/60)</f>
        <v>30</v>
      </c>
      <c r="Q22" s="6">
        <f>+Q20</f>
        <v>0.15</v>
      </c>
      <c r="R22" s="9">
        <f>+P22-(P22*Q22)</f>
        <v>25.5</v>
      </c>
      <c r="S22" s="23">
        <f>+(I22+J22)/R22</f>
        <v>0.78431372549019607</v>
      </c>
      <c r="T22" s="22">
        <f>+(2*($C$5-$C$6)/(S22*60+$C$8))*$C$9/100</f>
        <v>38.541016949152549</v>
      </c>
      <c r="U22" s="22">
        <f>+T22/2</f>
        <v>19.270508474576275</v>
      </c>
      <c r="V22" s="22">
        <f>+V20</f>
        <v>1</v>
      </c>
      <c r="W22" s="25">
        <f>+U22-V22</f>
        <v>18.270508474576275</v>
      </c>
      <c r="X22" s="24"/>
    </row>
    <row r="23" spans="1:24" ht="15.75">
      <c r="A23" s="17" t="s">
        <v>52</v>
      </c>
      <c r="B23" s="18">
        <v>643.6</v>
      </c>
      <c r="C23" s="18">
        <v>644.20000000000005</v>
      </c>
      <c r="D23" s="18">
        <f>((C23-B23)/2)+B23</f>
        <v>643.90000000000009</v>
      </c>
      <c r="E23" s="18"/>
      <c r="F23" s="21">
        <f>+(C23-B23)*1000</f>
        <v>600.00000000002274</v>
      </c>
      <c r="G23" s="8">
        <f>+B23+([4]Premissas!$C$109/1000+[4]Premissas!$C$110/1000/2)</f>
        <v>643.70567000000005</v>
      </c>
      <c r="H23" s="8">
        <f>+C23-([4]Premissas!$C$109/1000+[4]Premissas!$C$110/1000/2)</f>
        <v>644.09433000000001</v>
      </c>
      <c r="I23" s="1"/>
      <c r="J23" s="1"/>
      <c r="K23" s="22"/>
      <c r="L23" s="22"/>
      <c r="M23" s="1"/>
      <c r="N23" s="1"/>
      <c r="O23" s="1"/>
      <c r="P23" s="9"/>
      <c r="Q23" s="6"/>
      <c r="R23" s="9"/>
      <c r="S23" s="23"/>
      <c r="T23" s="22"/>
      <c r="U23" s="22"/>
      <c r="V23" s="22"/>
      <c r="W23" s="25"/>
      <c r="X23" s="1"/>
    </row>
    <row r="24" spans="1:24" ht="15.75">
      <c r="A24" s="12"/>
      <c r="B24" s="18"/>
      <c r="C24" s="19"/>
      <c r="D24" s="18"/>
      <c r="E24" s="18">
        <f>+B25-C23</f>
        <v>32.899999999999977</v>
      </c>
      <c r="F24" s="24"/>
      <c r="G24" s="1"/>
      <c r="H24" s="1"/>
      <c r="I24" s="8">
        <f>G25-G23</f>
        <v>33.5</v>
      </c>
      <c r="J24" s="8">
        <f>H25-H23</f>
        <v>33.5</v>
      </c>
      <c r="K24" s="22">
        <v>30</v>
      </c>
      <c r="L24" s="22">
        <f>(E24/K24)*60</f>
        <v>65.799999999999955</v>
      </c>
      <c r="M24" s="9">
        <f>+I24/K24*60</f>
        <v>67</v>
      </c>
      <c r="N24" s="9">
        <f>+J24/K24*60</f>
        <v>67</v>
      </c>
      <c r="O24" s="9">
        <f>+N24+M24</f>
        <v>134</v>
      </c>
      <c r="P24" s="9">
        <f>+(I24+J24)/(O24/60)</f>
        <v>30</v>
      </c>
      <c r="Q24" s="6">
        <f>+Q22</f>
        <v>0.15</v>
      </c>
      <c r="R24" s="9">
        <f>+P24-(P24*Q24)</f>
        <v>25.5</v>
      </c>
      <c r="S24" s="23">
        <f>+(I24+J24)/R24</f>
        <v>2.6274509803921569</v>
      </c>
      <c r="T24" s="22">
        <f>+(2*($C$5-$C$6)/(S24*60+$C$8))*$C$9/100</f>
        <v>12.335913200723326</v>
      </c>
      <c r="U24" s="22">
        <f>+T24/2</f>
        <v>6.1679566003616628</v>
      </c>
      <c r="V24" s="22">
        <f>+V22</f>
        <v>1</v>
      </c>
      <c r="W24" s="25">
        <f>+U24-V24</f>
        <v>5.1679566003616628</v>
      </c>
      <c r="X24" s="24">
        <f>+W24</f>
        <v>5.1679566003616628</v>
      </c>
    </row>
    <row r="25" spans="1:24" ht="15.75">
      <c r="A25" s="17" t="s">
        <v>53</v>
      </c>
      <c r="B25" s="18">
        <v>677.1</v>
      </c>
      <c r="C25" s="18">
        <v>677.7</v>
      </c>
      <c r="D25" s="18">
        <f>((C25-B25)/2)+B25</f>
        <v>677.40000000000009</v>
      </c>
      <c r="E25" s="18"/>
      <c r="F25" s="21">
        <f>+(C25-B25)*1000</f>
        <v>600.00000000002274</v>
      </c>
      <c r="G25" s="8">
        <f>+B25+([4]Premissas!$C$109/1000+[4]Premissas!$C$110/1000/2)</f>
        <v>677.20567000000005</v>
      </c>
      <c r="H25" s="8">
        <f>+C25-([4]Premissas!$C$109/1000+[4]Premissas!$C$110/1000/2)</f>
        <v>677.59433000000001</v>
      </c>
      <c r="I25" s="1"/>
      <c r="J25" s="1"/>
      <c r="K25" s="22"/>
      <c r="L25" s="22"/>
      <c r="M25" s="1"/>
      <c r="N25" s="1"/>
      <c r="O25" s="1"/>
      <c r="P25" s="9"/>
      <c r="Q25" s="6"/>
      <c r="R25" s="9"/>
      <c r="S25" s="23"/>
      <c r="T25" s="22"/>
      <c r="U25" s="22"/>
      <c r="V25" s="22"/>
      <c r="W25" s="25"/>
      <c r="X25" s="1"/>
    </row>
    <row r="26" spans="1:24" ht="15.75">
      <c r="A26" s="12"/>
      <c r="B26" s="18"/>
      <c r="C26" s="19"/>
      <c r="D26" s="18"/>
      <c r="E26" s="18">
        <f>+B27-C25</f>
        <v>19.399999999999977</v>
      </c>
      <c r="F26" s="24"/>
      <c r="G26" s="1"/>
      <c r="H26" s="1"/>
      <c r="I26" s="8">
        <f>G27-G25</f>
        <v>20</v>
      </c>
      <c r="J26" s="8">
        <f>H27-H25</f>
        <v>20</v>
      </c>
      <c r="K26" s="22">
        <v>30</v>
      </c>
      <c r="L26" s="22">
        <f>(E26/K26)*60</f>
        <v>38.799999999999955</v>
      </c>
      <c r="M26" s="9">
        <f>+I26/K26*60</f>
        <v>40</v>
      </c>
      <c r="N26" s="9">
        <f>+J26/K26*60</f>
        <v>40</v>
      </c>
      <c r="O26" s="9">
        <f>+N26+M26</f>
        <v>80</v>
      </c>
      <c r="P26" s="9">
        <f>+(I26+J26)/(O26/60)</f>
        <v>30</v>
      </c>
      <c r="Q26" s="6">
        <f>+Q24</f>
        <v>0.15</v>
      </c>
      <c r="R26" s="9">
        <f>+P26-(P26*Q26)</f>
        <v>25.5</v>
      </c>
      <c r="S26" s="23">
        <f>+(I26+J26)/R26</f>
        <v>1.5686274509803921</v>
      </c>
      <c r="T26" s="22">
        <f>+(2*($C$5-$C$6)/(S26*60+$C$8))*$C$9/100</f>
        <v>20.242611275964393</v>
      </c>
      <c r="U26" s="22">
        <f>+T26/2</f>
        <v>10.121305637982196</v>
      </c>
      <c r="V26" s="22">
        <f>+V24</f>
        <v>1</v>
      </c>
      <c r="W26" s="25">
        <f>+U26-V26</f>
        <v>9.1213056379821964</v>
      </c>
      <c r="X26" s="24"/>
    </row>
    <row r="27" spans="1:24" ht="15.75">
      <c r="A27" s="17" t="s">
        <v>54</v>
      </c>
      <c r="B27" s="18">
        <v>697.1</v>
      </c>
      <c r="C27" s="18">
        <v>697.7</v>
      </c>
      <c r="D27" s="18">
        <f>((C27-B27)/2)+B27</f>
        <v>697.40000000000009</v>
      </c>
      <c r="E27" s="18"/>
      <c r="F27" s="21">
        <f>+(C27-B27)*1000</f>
        <v>600.00000000002274</v>
      </c>
      <c r="G27" s="8">
        <f>+B27+([4]Premissas!$C$109/1000+[4]Premissas!$C$110/1000/2)</f>
        <v>697.20567000000005</v>
      </c>
      <c r="H27" s="8">
        <f>+C27-([4]Premissas!$C$109/1000+[4]Premissas!$C$110/1000/2)</f>
        <v>697.59433000000001</v>
      </c>
      <c r="I27" s="1"/>
      <c r="J27" s="1"/>
      <c r="K27" s="22"/>
      <c r="L27" s="22"/>
      <c r="M27" s="1"/>
      <c r="N27" s="1"/>
      <c r="O27" s="1"/>
      <c r="P27" s="9"/>
      <c r="Q27" s="6"/>
      <c r="R27" s="9"/>
      <c r="S27" s="23"/>
      <c r="T27" s="22"/>
      <c r="U27" s="22"/>
      <c r="V27" s="22"/>
      <c r="W27" s="25"/>
      <c r="X27" s="1"/>
    </row>
    <row r="28" spans="1:24" ht="15.75">
      <c r="A28" s="12"/>
      <c r="B28" s="18"/>
      <c r="C28" s="19"/>
      <c r="D28" s="18"/>
      <c r="E28" s="18">
        <f>+B29-C27</f>
        <v>25.899999999999977</v>
      </c>
      <c r="F28" s="24"/>
      <c r="G28" s="1"/>
      <c r="H28" s="1"/>
      <c r="I28" s="8">
        <f>G29-G27</f>
        <v>26.5</v>
      </c>
      <c r="J28" s="8">
        <f>H29-H27</f>
        <v>26.5</v>
      </c>
      <c r="K28" s="22">
        <v>30</v>
      </c>
      <c r="L28" s="22">
        <f>(E28/K28)*60</f>
        <v>51.799999999999955</v>
      </c>
      <c r="M28" s="9">
        <f>+I28/K28*60</f>
        <v>53</v>
      </c>
      <c r="N28" s="9">
        <f>+J28/K28*60</f>
        <v>53</v>
      </c>
      <c r="O28" s="9">
        <f>+N28+M28</f>
        <v>106</v>
      </c>
      <c r="P28" s="9">
        <f>+(I28+J28)/(O28/60)</f>
        <v>30</v>
      </c>
      <c r="Q28" s="6">
        <f>+Q26</f>
        <v>0.15</v>
      </c>
      <c r="R28" s="9">
        <f>+P28-(P28*Q28)</f>
        <v>25.5</v>
      </c>
      <c r="S28" s="23">
        <f>+(I28+J28)/R28</f>
        <v>2.0784313725490198</v>
      </c>
      <c r="T28" s="22">
        <f>+(2*($C$5-$C$6)/(S28*60+$C$8))*$C$9/100</f>
        <v>15.468843537414964</v>
      </c>
      <c r="U28" s="22">
        <f>+T28/2</f>
        <v>7.7344217687074819</v>
      </c>
      <c r="V28" s="22">
        <f>+V26</f>
        <v>1</v>
      </c>
      <c r="W28" s="25">
        <f>+U28-V28</f>
        <v>6.7344217687074819</v>
      </c>
      <c r="X28" s="24"/>
    </row>
    <row r="29" spans="1:24" ht="15.75">
      <c r="A29" s="63" t="s">
        <v>74</v>
      </c>
      <c r="B29" s="18">
        <v>723.6</v>
      </c>
      <c r="C29" s="18">
        <v>724.2</v>
      </c>
      <c r="D29" s="18">
        <f>((C29-B29)/2)+B29</f>
        <v>723.90000000000009</v>
      </c>
      <c r="E29" s="18"/>
      <c r="F29" s="21">
        <f>+(C29-B29)*1000</f>
        <v>600.00000000002274</v>
      </c>
      <c r="G29" s="8">
        <f>+B29+([4]Premissas!$C$109/1000+[4]Premissas!$C$110/1000/2)</f>
        <v>723.70567000000005</v>
      </c>
      <c r="H29" s="8">
        <f>+C29-([4]Premissas!$C$109/1000+[4]Premissas!$C$110/1000/2)</f>
        <v>724.09433000000001</v>
      </c>
      <c r="I29" s="1"/>
      <c r="J29" s="1"/>
      <c r="K29" s="22"/>
      <c r="L29" s="22"/>
      <c r="M29" s="1"/>
      <c r="N29" s="1"/>
      <c r="O29" s="1"/>
      <c r="P29" s="9"/>
      <c r="Q29" s="6"/>
      <c r="R29" s="9"/>
      <c r="S29" s="1"/>
      <c r="T29" s="22"/>
      <c r="U29" s="22"/>
      <c r="V29" s="22"/>
      <c r="W29" s="25"/>
      <c r="X29" s="1"/>
    </row>
    <row r="30" spans="1:24" ht="15.75">
      <c r="A30" s="12"/>
      <c r="B30" s="18"/>
      <c r="C30" s="19"/>
      <c r="D30" s="18"/>
      <c r="E30" s="18">
        <f>+B31-C29</f>
        <v>24</v>
      </c>
      <c r="F30" s="24"/>
      <c r="G30" s="1"/>
      <c r="H30" s="1"/>
      <c r="I30" s="8">
        <f>G31-G29</f>
        <v>24.600000000000023</v>
      </c>
      <c r="J30" s="8">
        <f>H31-H29</f>
        <v>24.899999999999977</v>
      </c>
      <c r="K30" s="22">
        <v>30</v>
      </c>
      <c r="L30" s="22">
        <f>(E30/K30)*60</f>
        <v>48</v>
      </c>
      <c r="M30" s="9">
        <f>+I30/K30*60</f>
        <v>49.200000000000045</v>
      </c>
      <c r="N30" s="9">
        <f>+J30/K30*60</f>
        <v>49.799999999999955</v>
      </c>
      <c r="O30" s="9">
        <f>+N30+M30</f>
        <v>99</v>
      </c>
      <c r="P30" s="9">
        <f>+(I30+J30)/(O30/60)</f>
        <v>30</v>
      </c>
      <c r="Q30" s="6">
        <f>+Q28</f>
        <v>0.15</v>
      </c>
      <c r="R30" s="9">
        <f>+P30-(P30*Q30)</f>
        <v>25.5</v>
      </c>
      <c r="S30" s="23">
        <f>+(I30+J30)/R30</f>
        <v>1.9411764705882353</v>
      </c>
      <c r="T30" s="22">
        <f>+(2*($C$5-$C$6)/(S30*60+$C$8))*$C$9/100</f>
        <v>16.517578692493945</v>
      </c>
      <c r="U30" s="22">
        <f>+T30/2</f>
        <v>8.2587893462469726</v>
      </c>
      <c r="V30" s="22">
        <f>+V28</f>
        <v>1</v>
      </c>
      <c r="W30" s="25">
        <f>+U30-V30</f>
        <v>7.2587893462469726</v>
      </c>
      <c r="X30" s="24"/>
    </row>
    <row r="31" spans="1:24" ht="16.5" thickBot="1">
      <c r="A31" s="14" t="s">
        <v>55</v>
      </c>
      <c r="B31" s="29">
        <v>748.2</v>
      </c>
      <c r="C31" s="29">
        <v>749.1</v>
      </c>
      <c r="D31" s="29">
        <f>((C31-B31)/2)+B31</f>
        <v>748.65000000000009</v>
      </c>
      <c r="E31" s="29"/>
      <c r="F31" s="30">
        <f>+(C31-B31)*1000</f>
        <v>899.99999999997726</v>
      </c>
      <c r="G31" s="31">
        <f>+B31+([4]Premissas!$C$109/1000+[4]Premissas!$C$110/1000/2)</f>
        <v>748.30567000000008</v>
      </c>
      <c r="H31" s="31">
        <f>+C31-([4]Premissas!$C$109/1000+[4]Premissas!$C$110/1000/2)</f>
        <v>748.99432999999999</v>
      </c>
      <c r="I31" s="32"/>
      <c r="J31" s="32"/>
      <c r="K31" s="33"/>
      <c r="L31" s="33"/>
      <c r="M31" s="32"/>
      <c r="N31" s="32"/>
      <c r="O31" s="32"/>
      <c r="P31" s="34"/>
      <c r="Q31" s="32"/>
      <c r="R31" s="34"/>
      <c r="S31" s="32"/>
      <c r="T31" s="32"/>
      <c r="U31" s="32"/>
      <c r="V31" s="33"/>
      <c r="W31" s="35"/>
      <c r="X31" s="32"/>
    </row>
    <row r="32" spans="1:24" ht="15.75">
      <c r="A32" s="12">
        <v>8</v>
      </c>
      <c r="B32" s="36" t="s">
        <v>13</v>
      </c>
      <c r="C32" s="18"/>
      <c r="D32" s="20"/>
      <c r="E32" s="20"/>
      <c r="F32" s="37">
        <f>SUM(F15:F31)-F15</f>
        <v>5100.0000000001364</v>
      </c>
      <c r="G32" s="8"/>
      <c r="H32" s="8"/>
      <c r="I32" s="1"/>
      <c r="J32" s="1"/>
      <c r="K32" s="22"/>
      <c r="L32" s="22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>
      <c r="A33" s="1"/>
      <c r="B33" s="38"/>
      <c r="C33" s="38"/>
      <c r="D33" s="39"/>
      <c r="E33" s="39"/>
      <c r="F33" s="40"/>
      <c r="G33" s="41"/>
      <c r="H33" s="41"/>
      <c r="I33" s="2"/>
      <c r="J33" s="2"/>
      <c r="K33" s="42"/>
      <c r="L33" s="42"/>
      <c r="M33" s="2"/>
      <c r="N33" s="2"/>
      <c r="O33" s="2"/>
      <c r="P33" s="1" t="s">
        <v>56</v>
      </c>
      <c r="Q33" s="1"/>
      <c r="R33" s="1"/>
      <c r="S33" s="1"/>
      <c r="T33" s="1"/>
      <c r="U33" s="1"/>
      <c r="V33" s="22">
        <f>+U24</f>
        <v>6.1679566003616628</v>
      </c>
      <c r="W33" s="2"/>
      <c r="X33" s="2"/>
    </row>
    <row r="34" spans="1:24">
      <c r="A34" s="1"/>
      <c r="B34" s="1"/>
      <c r="C34" s="1"/>
      <c r="D34" s="1"/>
      <c r="E34" s="4"/>
      <c r="F34" s="1"/>
      <c r="G34" s="1"/>
      <c r="H34" s="1"/>
      <c r="I34" s="1"/>
      <c r="J34" s="1"/>
      <c r="K34" s="1"/>
      <c r="L34" s="1"/>
      <c r="M34" s="1"/>
      <c r="N34" s="1"/>
      <c r="O34" s="1"/>
      <c r="P34" s="1" t="s">
        <v>57</v>
      </c>
      <c r="Q34" s="1"/>
      <c r="R34" s="1"/>
      <c r="S34" s="1"/>
      <c r="T34" s="1"/>
      <c r="U34" s="1"/>
      <c r="V34" s="22">
        <f>+W24</f>
        <v>5.1679566003616628</v>
      </c>
      <c r="W34" s="24"/>
      <c r="X34" s="1"/>
    </row>
    <row r="35" spans="1:24">
      <c r="A35" s="1" t="s">
        <v>79</v>
      </c>
      <c r="B35" s="1"/>
      <c r="C35" s="1"/>
      <c r="D35" s="1"/>
      <c r="E35" s="4"/>
      <c r="F35" s="1"/>
      <c r="G35" s="1"/>
      <c r="H35" s="1"/>
      <c r="I35" s="1"/>
      <c r="J35" s="1"/>
      <c r="K35" s="1"/>
      <c r="L35" s="1"/>
      <c r="M35" s="1"/>
      <c r="N35" s="1"/>
      <c r="O35" s="1"/>
      <c r="P35" s="1" t="s">
        <v>58</v>
      </c>
      <c r="Q35" s="1"/>
      <c r="R35" s="1"/>
      <c r="S35" s="1"/>
      <c r="T35" s="1"/>
      <c r="U35" s="1"/>
      <c r="V35" s="5">
        <f>+[4]Frotas!N149</f>
        <v>1404</v>
      </c>
      <c r="W35" s="1"/>
      <c r="X35" s="1"/>
    </row>
    <row r="36" spans="1:24">
      <c r="A36" s="1"/>
      <c r="B36" s="1"/>
      <c r="C36" s="1"/>
      <c r="D36" s="1"/>
      <c r="E36" s="4"/>
      <c r="F36" s="1"/>
      <c r="G36" s="1"/>
      <c r="H36" s="1"/>
      <c r="I36" s="1"/>
      <c r="J36" s="1"/>
      <c r="K36" s="1"/>
      <c r="L36" s="1"/>
      <c r="M36" s="1"/>
      <c r="N36" s="1"/>
      <c r="O36" s="1"/>
      <c r="P36" s="43" t="s">
        <v>59</v>
      </c>
      <c r="Q36" s="43"/>
      <c r="R36" s="43"/>
      <c r="S36" s="43"/>
      <c r="T36" s="43"/>
      <c r="U36" s="43"/>
      <c r="V36" s="43">
        <f>+[4]Premissas!N124</f>
        <v>330</v>
      </c>
      <c r="W36" s="1"/>
      <c r="X36" s="1"/>
    </row>
    <row r="37" spans="1:24" ht="15.75">
      <c r="A37" s="1"/>
      <c r="B37" s="1"/>
      <c r="C37" s="1"/>
      <c r="D37" s="1"/>
      <c r="E37" s="4"/>
      <c r="F37" s="1"/>
      <c r="G37" s="1"/>
      <c r="H37" s="1"/>
      <c r="I37" s="1"/>
      <c r="J37" s="1"/>
      <c r="K37" s="1"/>
      <c r="L37" s="1"/>
      <c r="M37" s="1"/>
      <c r="N37" s="1"/>
      <c r="O37" s="1"/>
      <c r="P37" s="44" t="s">
        <v>60</v>
      </c>
      <c r="Q37" s="1"/>
      <c r="R37" s="44"/>
      <c r="S37" s="44"/>
      <c r="T37" s="44"/>
      <c r="U37" s="44"/>
      <c r="V37" s="45">
        <f>+(V34*V35*V36)/1000000</f>
        <v>2.3944176520795653</v>
      </c>
      <c r="W37" s="44"/>
      <c r="X37" s="44"/>
    </row>
    <row r="38" spans="1:24" ht="15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44" t="s">
        <v>60</v>
      </c>
      <c r="Q38" s="1"/>
      <c r="R38" s="44"/>
      <c r="S38" s="44"/>
      <c r="T38" s="46">
        <f>+[4]Premissas!N117/100</f>
        <v>0.1</v>
      </c>
      <c r="U38" s="44"/>
      <c r="V38" s="45">
        <f>+V37/(1+T38)</f>
        <v>2.1767433200723318</v>
      </c>
      <c r="W38" s="44" t="s">
        <v>61</v>
      </c>
      <c r="X38" s="44"/>
    </row>
    <row r="39" spans="1:24" ht="15.75">
      <c r="P39" s="48"/>
      <c r="R39" s="48"/>
      <c r="S39" s="48"/>
      <c r="T39" s="49"/>
      <c r="U39" s="50"/>
      <c r="V39" s="51"/>
      <c r="W39" s="48"/>
      <c r="X39" s="48"/>
    </row>
    <row r="40" spans="1:24" ht="15.75">
      <c r="P40" s="48"/>
      <c r="R40" s="48"/>
      <c r="S40" s="48"/>
      <c r="T40" s="49"/>
      <c r="U40" s="50"/>
      <c r="V40" s="51"/>
      <c r="W40" s="48"/>
      <c r="X40" s="48"/>
    </row>
    <row r="41" spans="1:24" ht="15.75">
      <c r="P41" s="48"/>
      <c r="R41" s="48"/>
      <c r="S41" s="48"/>
      <c r="T41" s="49"/>
      <c r="U41" s="50"/>
      <c r="V41" s="51"/>
      <c r="W41" s="48"/>
      <c r="X41" s="48"/>
    </row>
    <row r="42" spans="1:24" ht="15.75">
      <c r="P42" s="48"/>
      <c r="R42" s="48"/>
      <c r="S42" s="48"/>
      <c r="T42" s="49"/>
      <c r="U42" s="50"/>
      <c r="V42" s="51"/>
      <c r="W42" s="48"/>
      <c r="X42" s="48"/>
    </row>
    <row r="43" spans="1:24" ht="15.75">
      <c r="P43" s="48"/>
      <c r="R43" s="48"/>
      <c r="S43" s="48"/>
      <c r="T43" s="49"/>
      <c r="U43" s="50"/>
      <c r="V43" s="51"/>
      <c r="W43" s="48"/>
      <c r="X43" s="48"/>
    </row>
    <row r="44" spans="1:24" ht="15.75">
      <c r="A44" s="1"/>
      <c r="B44" s="64" t="s">
        <v>70</v>
      </c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5.75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2"/>
      <c r="Q45" s="2"/>
      <c r="R45" s="2"/>
      <c r="S45" s="2"/>
      <c r="T45" s="2"/>
      <c r="U45" s="2"/>
      <c r="V45" s="2"/>
      <c r="W45" s="2"/>
      <c r="X45" s="2"/>
    </row>
    <row r="46" spans="1:24">
      <c r="A46" s="1"/>
      <c r="B46" s="1" t="s">
        <v>0</v>
      </c>
      <c r="C46" s="1"/>
      <c r="D46" s="1"/>
      <c r="E46" s="4"/>
      <c r="F46" s="1"/>
      <c r="G46" s="1"/>
      <c r="H46" s="1"/>
      <c r="I46" s="1"/>
      <c r="J46" s="1"/>
      <c r="K46" s="1"/>
      <c r="L46" s="1"/>
      <c r="M46" s="1"/>
      <c r="N46" s="1"/>
      <c r="O46" s="1"/>
      <c r="P46" s="1" t="s">
        <v>1</v>
      </c>
      <c r="Q46" s="1"/>
      <c r="R46" s="1"/>
      <c r="S46" s="1"/>
      <c r="T46" s="1"/>
      <c r="U46" s="1"/>
      <c r="V46" s="1"/>
      <c r="W46" s="1"/>
      <c r="X46" s="1"/>
    </row>
    <row r="47" spans="1:24">
      <c r="A47" s="1"/>
      <c r="B47" s="4"/>
      <c r="C47" s="5">
        <v>1440</v>
      </c>
      <c r="D47" s="1" t="s">
        <v>2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 t="s">
        <v>3</v>
      </c>
      <c r="Q47" s="1"/>
      <c r="R47" s="1"/>
      <c r="S47" s="1"/>
      <c r="T47" s="1"/>
      <c r="U47" s="6">
        <f>+[4]Premissas!O112/100</f>
        <v>0.1</v>
      </c>
      <c r="V47" s="1"/>
      <c r="W47" s="1"/>
      <c r="X47" s="1"/>
    </row>
    <row r="48" spans="1:24">
      <c r="A48" s="1"/>
      <c r="B48" s="7" t="s">
        <v>4</v>
      </c>
      <c r="C48" s="1">
        <f>+[4]Premissas!O108</f>
        <v>120</v>
      </c>
      <c r="D48" s="1" t="s">
        <v>5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 t="s">
        <v>6</v>
      </c>
      <c r="Q48" s="1"/>
      <c r="R48" s="1"/>
      <c r="S48" s="1"/>
      <c r="T48" s="1"/>
      <c r="U48" s="1">
        <f>+[4]Premissas!O114+[4]Premissas!O115+[4]Premissas!O116</f>
        <v>1</v>
      </c>
      <c r="V48" s="1"/>
      <c r="W48" s="1"/>
      <c r="X48" s="1"/>
    </row>
    <row r="49" spans="1:24">
      <c r="A49" s="1"/>
      <c r="B49" s="4" t="s">
        <v>7</v>
      </c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 t="s">
        <v>8</v>
      </c>
      <c r="Q49" s="1"/>
      <c r="R49" s="1"/>
      <c r="S49" s="1"/>
      <c r="T49" s="1"/>
      <c r="U49" s="8">
        <f>[4]Frotas!O152</f>
        <v>656</v>
      </c>
      <c r="V49" s="1"/>
      <c r="W49" s="1"/>
      <c r="X49" s="1"/>
    </row>
    <row r="50" spans="1:24">
      <c r="A50" s="1"/>
      <c r="B50" s="4" t="s">
        <v>9</v>
      </c>
      <c r="C50" s="1">
        <f>+[4]Premissas!O106</f>
        <v>5</v>
      </c>
      <c r="D50" s="1" t="s">
        <v>10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 t="s">
        <v>11</v>
      </c>
      <c r="Q50" s="1"/>
      <c r="R50" s="1"/>
      <c r="S50" s="1"/>
      <c r="T50" s="1"/>
      <c r="U50" s="8">
        <f>[4]Frotas!O153</f>
        <v>867.34</v>
      </c>
      <c r="V50" s="1"/>
      <c r="W50" s="1"/>
      <c r="X50" s="1"/>
    </row>
    <row r="51" spans="1:24">
      <c r="A51" s="1"/>
      <c r="B51" s="4" t="s">
        <v>12</v>
      </c>
      <c r="C51" s="9">
        <f>+([4]Premissas!O102*[4]Premissas!O104)/100</f>
        <v>76</v>
      </c>
      <c r="D51" s="1" t="s">
        <v>75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5.75" thickBot="1">
      <c r="A52" s="1"/>
      <c r="B52" s="1"/>
      <c r="C52" s="1"/>
      <c r="D52" s="1"/>
      <c r="E52" s="4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5.75">
      <c r="A53" s="70" t="s">
        <v>13</v>
      </c>
      <c r="B53" s="69" t="s">
        <v>14</v>
      </c>
      <c r="C53" s="69"/>
      <c r="D53" s="69"/>
      <c r="E53" s="69"/>
      <c r="F53" s="73" t="s">
        <v>15</v>
      </c>
      <c r="G53" s="69" t="s">
        <v>16</v>
      </c>
      <c r="H53" s="69"/>
      <c r="I53" s="69" t="s">
        <v>17</v>
      </c>
      <c r="J53" s="69"/>
      <c r="K53" s="73" t="s">
        <v>18</v>
      </c>
      <c r="L53" s="73" t="s">
        <v>19</v>
      </c>
      <c r="M53" s="76" t="s">
        <v>20</v>
      </c>
      <c r="N53" s="76"/>
      <c r="O53" s="76"/>
      <c r="P53" s="76"/>
      <c r="Q53" s="10" t="s">
        <v>21</v>
      </c>
      <c r="R53" s="67" t="s">
        <v>22</v>
      </c>
      <c r="S53" s="10" t="s">
        <v>23</v>
      </c>
      <c r="T53" s="69" t="s">
        <v>24</v>
      </c>
      <c r="U53" s="69"/>
      <c r="V53" s="69" t="s">
        <v>25</v>
      </c>
      <c r="W53" s="69"/>
      <c r="X53" s="70" t="s">
        <v>26</v>
      </c>
    </row>
    <row r="54" spans="1:24" ht="15.75">
      <c r="A54" s="71"/>
      <c r="B54" s="72" t="s">
        <v>76</v>
      </c>
      <c r="C54" s="72" t="s">
        <v>77</v>
      </c>
      <c r="D54" s="72" t="s">
        <v>27</v>
      </c>
      <c r="E54" s="79" t="s">
        <v>28</v>
      </c>
      <c r="F54" s="74"/>
      <c r="G54" s="72" t="s">
        <v>29</v>
      </c>
      <c r="H54" s="72" t="s">
        <v>30</v>
      </c>
      <c r="I54" s="72" t="s">
        <v>29</v>
      </c>
      <c r="J54" s="72" t="s">
        <v>30</v>
      </c>
      <c r="K54" s="74"/>
      <c r="L54" s="74"/>
      <c r="M54" s="11" t="s">
        <v>29</v>
      </c>
      <c r="N54" s="11" t="s">
        <v>30</v>
      </c>
      <c r="O54" s="78" t="s">
        <v>31</v>
      </c>
      <c r="P54" s="78"/>
      <c r="Q54" s="12" t="s">
        <v>32</v>
      </c>
      <c r="R54" s="66"/>
      <c r="S54" s="12" t="s">
        <v>33</v>
      </c>
      <c r="T54" s="72" t="s">
        <v>34</v>
      </c>
      <c r="U54" s="65" t="s">
        <v>35</v>
      </c>
      <c r="V54" s="65" t="s">
        <v>36</v>
      </c>
      <c r="W54" s="65" t="s">
        <v>37</v>
      </c>
      <c r="X54" s="71"/>
    </row>
    <row r="55" spans="1:24" ht="15.75">
      <c r="A55" s="71"/>
      <c r="B55" s="77"/>
      <c r="C55" s="77"/>
      <c r="D55" s="77"/>
      <c r="E55" s="80"/>
      <c r="F55" s="75"/>
      <c r="G55" s="77"/>
      <c r="H55" s="77"/>
      <c r="I55" s="77"/>
      <c r="J55" s="77"/>
      <c r="K55" s="75"/>
      <c r="L55" s="75"/>
      <c r="M55" s="11" t="s">
        <v>38</v>
      </c>
      <c r="N55" s="11" t="s">
        <v>39</v>
      </c>
      <c r="O55" s="11" t="s">
        <v>40</v>
      </c>
      <c r="P55" s="11" t="s">
        <v>40</v>
      </c>
      <c r="Q55" s="12" t="s">
        <v>78</v>
      </c>
      <c r="R55" s="68"/>
      <c r="S55" s="13" t="s">
        <v>41</v>
      </c>
      <c r="T55" s="71"/>
      <c r="U55" s="66"/>
      <c r="V55" s="66"/>
      <c r="W55" s="66"/>
      <c r="X55" s="71"/>
    </row>
    <row r="56" spans="1:24" ht="16.5" thickBot="1">
      <c r="A56" s="71"/>
      <c r="B56" s="17" t="s">
        <v>42</v>
      </c>
      <c r="C56" s="17" t="s">
        <v>42</v>
      </c>
      <c r="D56" s="12" t="s">
        <v>42</v>
      </c>
      <c r="E56" s="52" t="s">
        <v>42</v>
      </c>
      <c r="F56" s="12" t="s">
        <v>43</v>
      </c>
      <c r="G56" s="12" t="s">
        <v>42</v>
      </c>
      <c r="H56" s="12" t="s">
        <v>42</v>
      </c>
      <c r="I56" s="12" t="s">
        <v>42</v>
      </c>
      <c r="J56" s="12" t="s">
        <v>42</v>
      </c>
      <c r="K56" s="12" t="s">
        <v>44</v>
      </c>
      <c r="L56" s="12" t="s">
        <v>45</v>
      </c>
      <c r="M56" s="12" t="s">
        <v>45</v>
      </c>
      <c r="N56" s="12" t="s">
        <v>45</v>
      </c>
      <c r="O56" s="12" t="s">
        <v>45</v>
      </c>
      <c r="P56" s="12" t="s">
        <v>44</v>
      </c>
      <c r="Q56" s="12" t="s">
        <v>46</v>
      </c>
      <c r="R56" s="12" t="s">
        <v>44</v>
      </c>
      <c r="S56" s="12" t="s">
        <v>47</v>
      </c>
      <c r="T56" s="71"/>
      <c r="U56" s="66"/>
      <c r="V56" s="66"/>
      <c r="W56" s="66"/>
      <c r="X56" s="71"/>
    </row>
    <row r="57" spans="1:24" ht="15.75">
      <c r="A57" s="53" t="s">
        <v>55</v>
      </c>
      <c r="B57" s="54">
        <v>748.2</v>
      </c>
      <c r="C57" s="54">
        <v>749.1</v>
      </c>
      <c r="D57" s="54">
        <f>((C57-B57)/2)+B57</f>
        <v>748.65000000000009</v>
      </c>
      <c r="E57" s="54"/>
      <c r="F57" s="55">
        <f>+(C57-B57)*1000</f>
        <v>899.99999999997726</v>
      </c>
      <c r="G57" s="56">
        <f>+B57+([4]Premissas!$C$109/1000+[4]Premissas!$C$110/1000/2)</f>
        <v>748.30567000000008</v>
      </c>
      <c r="H57" s="56">
        <f>+C57-([4]Premissas!$C$109/1000+[4]Premissas!$C$110/1000/2)</f>
        <v>748.99432999999999</v>
      </c>
      <c r="I57" s="57"/>
      <c r="J57" s="57"/>
      <c r="K57" s="58"/>
      <c r="L57" s="58"/>
      <c r="M57" s="57"/>
      <c r="N57" s="57"/>
      <c r="O57" s="57"/>
      <c r="P57" s="59"/>
      <c r="Q57" s="57"/>
      <c r="R57" s="59"/>
      <c r="S57" s="57"/>
      <c r="T57" s="57"/>
      <c r="U57" s="57"/>
      <c r="V57" s="58"/>
      <c r="W57" s="60"/>
      <c r="X57" s="57"/>
    </row>
    <row r="58" spans="1:24" ht="15.75">
      <c r="A58" s="12"/>
      <c r="B58" s="18"/>
      <c r="C58" s="19"/>
      <c r="D58" s="18"/>
      <c r="E58" s="18">
        <f>+B59-C57</f>
        <v>40.600000000000023</v>
      </c>
      <c r="F58" s="24"/>
      <c r="G58" s="1"/>
      <c r="H58" s="1"/>
      <c r="I58" s="8">
        <f>+G59-G57</f>
        <v>41.5</v>
      </c>
      <c r="J58" s="8">
        <f>+H59-H57</f>
        <v>41.5</v>
      </c>
      <c r="K58" s="22">
        <v>40</v>
      </c>
      <c r="L58" s="22">
        <f>(E58/K58)*60</f>
        <v>60.900000000000034</v>
      </c>
      <c r="M58" s="9">
        <f>+I58/K58*60</f>
        <v>62.250000000000007</v>
      </c>
      <c r="N58" s="9">
        <f>+J58/K58*60</f>
        <v>62.250000000000007</v>
      </c>
      <c r="O58" s="9">
        <f>+N58+M58</f>
        <v>124.50000000000001</v>
      </c>
      <c r="P58" s="9">
        <f>+(I58+J58)/(O58/60)</f>
        <v>40</v>
      </c>
      <c r="Q58" s="6">
        <f>U47</f>
        <v>0.1</v>
      </c>
      <c r="R58" s="9">
        <f>+P58-(P58*Q58)</f>
        <v>36</v>
      </c>
      <c r="S58" s="23">
        <f>+(I58+J58)/R58</f>
        <v>2.3055555555555554</v>
      </c>
      <c r="T58" s="22">
        <f>+(2*($C$5-$C$6)/(S58*60+$C$8))*$C$9/100</f>
        <v>13.998139534883721</v>
      </c>
      <c r="U58" s="22">
        <f>+T58/2</f>
        <v>6.9990697674418607</v>
      </c>
      <c r="V58" s="22">
        <f>+U48</f>
        <v>1</v>
      </c>
      <c r="W58" s="25">
        <f>+U58-V58</f>
        <v>5.9990697674418607</v>
      </c>
      <c r="X58" s="24">
        <f>+W58</f>
        <v>5.9990697674418607</v>
      </c>
    </row>
    <row r="59" spans="1:24" ht="15.75">
      <c r="A59" s="17" t="s">
        <v>62</v>
      </c>
      <c r="B59" s="18">
        <v>789.7</v>
      </c>
      <c r="C59" s="18">
        <v>790.6</v>
      </c>
      <c r="D59" s="18">
        <f>((C59-B59)/2)+B59</f>
        <v>790.15000000000009</v>
      </c>
      <c r="E59" s="18"/>
      <c r="F59" s="21">
        <f>+(C59-B59)*1000</f>
        <v>899.99999999997726</v>
      </c>
      <c r="G59" s="8">
        <f>+B59+([4]Premissas!$C$109/1000+[4]Premissas!$C$110/1000/2)</f>
        <v>789.80567000000008</v>
      </c>
      <c r="H59" s="8">
        <f>+C59-([4]Premissas!$C$109/1000+[4]Premissas!$C$110/1000/2)</f>
        <v>790.49432999999999</v>
      </c>
      <c r="I59" s="8"/>
      <c r="J59" s="8"/>
      <c r="K59" s="22"/>
      <c r="L59" s="22"/>
      <c r="M59" s="1"/>
      <c r="N59" s="1"/>
      <c r="O59" s="1"/>
      <c r="P59" s="9"/>
      <c r="Q59" s="1"/>
      <c r="R59" s="9"/>
      <c r="S59" s="1"/>
      <c r="T59" s="1"/>
      <c r="U59" s="1"/>
      <c r="V59" s="1"/>
      <c r="W59" s="25"/>
      <c r="X59" s="1"/>
    </row>
    <row r="60" spans="1:24" ht="15.75">
      <c r="A60" s="12"/>
      <c r="B60" s="18"/>
      <c r="C60" s="19"/>
      <c r="D60" s="18"/>
      <c r="E60" s="18">
        <f>+B61-C59</f>
        <v>13.199999999999932</v>
      </c>
      <c r="F60" s="24"/>
      <c r="G60" s="1"/>
      <c r="H60" s="1"/>
      <c r="I60" s="8">
        <f>+G61-G59</f>
        <v>14.099999999999909</v>
      </c>
      <c r="J60" s="8">
        <f>+H61-H59</f>
        <v>14.100000000000023</v>
      </c>
      <c r="K60" s="22">
        <v>40</v>
      </c>
      <c r="L60" s="22">
        <f>(E60/K60)*60</f>
        <v>19.799999999999898</v>
      </c>
      <c r="M60" s="9">
        <f>+I60/K60*60</f>
        <v>21.149999999999864</v>
      </c>
      <c r="N60" s="9">
        <f>+J60/K60*60</f>
        <v>21.150000000000034</v>
      </c>
      <c r="O60" s="9">
        <f>+N60+M60</f>
        <v>42.299999999999898</v>
      </c>
      <c r="P60" s="9">
        <f>+(I60+J60)/(O60/60)</f>
        <v>40</v>
      </c>
      <c r="Q60" s="6">
        <f>+Q58</f>
        <v>0.1</v>
      </c>
      <c r="R60" s="9">
        <f>+P60-(P60*Q60)</f>
        <v>36</v>
      </c>
      <c r="S60" s="23">
        <f>+(I60+J60)/R60</f>
        <v>0.78333333333333144</v>
      </c>
      <c r="T60" s="22">
        <f>+(2*($C$5-$C$6)/(S60*60+$C$8))*$C$9/100</f>
        <v>38.584615384615468</v>
      </c>
      <c r="U60" s="22">
        <f>+T60/2</f>
        <v>19.292307692307734</v>
      </c>
      <c r="V60" s="22">
        <f>+V58</f>
        <v>1</v>
      </c>
      <c r="W60" s="25">
        <f>+U60-V60</f>
        <v>18.292307692307734</v>
      </c>
      <c r="X60" s="24"/>
    </row>
    <row r="61" spans="1:24" ht="15.75">
      <c r="A61" s="17" t="s">
        <v>63</v>
      </c>
      <c r="B61" s="18">
        <v>803.8</v>
      </c>
      <c r="C61" s="18">
        <v>804.7</v>
      </c>
      <c r="D61" s="18">
        <f>((C61-B61)/2)+B61</f>
        <v>804.25</v>
      </c>
      <c r="E61" s="18"/>
      <c r="F61" s="21">
        <f>+(C61-B61)*1000</f>
        <v>900.00000000009095</v>
      </c>
      <c r="G61" s="8">
        <f>+B61+([4]Premissas!$C$109/1000+[4]Premissas!$C$110/1000/2)</f>
        <v>803.90566999999999</v>
      </c>
      <c r="H61" s="8">
        <f>+C61-([4]Premissas!$C$109/1000+[4]Premissas!$C$110/1000/2)</f>
        <v>804.59433000000001</v>
      </c>
      <c r="I61" s="8"/>
      <c r="J61" s="8"/>
      <c r="K61" s="22"/>
      <c r="L61" s="22"/>
      <c r="M61" s="1"/>
      <c r="N61" s="1"/>
      <c r="O61" s="1"/>
      <c r="P61" s="9"/>
      <c r="Q61" s="1"/>
      <c r="R61" s="9"/>
      <c r="S61" s="1"/>
      <c r="T61" s="1"/>
      <c r="U61" s="1"/>
      <c r="V61" s="1"/>
      <c r="W61" s="25"/>
      <c r="X61" s="1"/>
    </row>
    <row r="62" spans="1:24" ht="15.75">
      <c r="A62" s="12"/>
      <c r="B62" s="18"/>
      <c r="C62" s="19"/>
      <c r="D62" s="18"/>
      <c r="E62" s="18">
        <f>+B63-C61</f>
        <v>10.199999999999932</v>
      </c>
      <c r="F62" s="24"/>
      <c r="G62" s="1"/>
      <c r="H62" s="1"/>
      <c r="I62" s="8">
        <f>+G63-G61</f>
        <v>11.100000000000023</v>
      </c>
      <c r="J62" s="8">
        <f>+H63-H61</f>
        <v>11.099999999999909</v>
      </c>
      <c r="K62" s="22">
        <v>40</v>
      </c>
      <c r="L62" s="22">
        <f>(E62/K62)*60</f>
        <v>15.299999999999898</v>
      </c>
      <c r="M62" s="9">
        <f>+I62/K62*60</f>
        <v>16.650000000000034</v>
      </c>
      <c r="N62" s="9">
        <f>+J62/K62*60</f>
        <v>16.649999999999864</v>
      </c>
      <c r="O62" s="9">
        <f>+N62+M62</f>
        <v>33.299999999999898</v>
      </c>
      <c r="P62" s="9">
        <f>+(I62+J62)/(O62/60)</f>
        <v>40</v>
      </c>
      <c r="Q62" s="6">
        <f>+Q58</f>
        <v>0.1</v>
      </c>
      <c r="R62" s="9">
        <f>+P62-(P62*Q62)</f>
        <v>36</v>
      </c>
      <c r="S62" s="23">
        <f>+(I62+J62)/R62</f>
        <v>0.61666666666666481</v>
      </c>
      <c r="T62" s="22">
        <f>+(2*($C$5-$C$6)/(S62*60+$C$8))*$C$9/100</f>
        <v>47.771428571428693</v>
      </c>
      <c r="U62" s="22">
        <f>+T62/2</f>
        <v>23.885714285714347</v>
      </c>
      <c r="V62" s="22">
        <f>+V58</f>
        <v>1</v>
      </c>
      <c r="W62" s="25">
        <f>+U62-V62</f>
        <v>22.885714285714347</v>
      </c>
      <c r="X62" s="24"/>
    </row>
    <row r="63" spans="1:24" ht="15.75">
      <c r="A63" s="17" t="s">
        <v>64</v>
      </c>
      <c r="B63" s="18">
        <v>814.9</v>
      </c>
      <c r="C63" s="18">
        <v>815.8</v>
      </c>
      <c r="D63" s="18">
        <f>((C63-B63)/2)+B63</f>
        <v>815.34999999999991</v>
      </c>
      <c r="E63" s="18"/>
      <c r="F63" s="21">
        <f>+(C63-B63)*1000</f>
        <v>899.99999999997726</v>
      </c>
      <c r="G63" s="8">
        <f>+B63+([4]Premissas!$C$109/1000+[4]Premissas!$C$110/1000/2)</f>
        <v>815.00567000000001</v>
      </c>
      <c r="H63" s="8">
        <f>+C63-([4]Premissas!$C$109/1000+[4]Premissas!$C$110/1000/2)</f>
        <v>815.69432999999992</v>
      </c>
      <c r="I63" s="1"/>
      <c r="J63" s="1"/>
      <c r="K63" s="22"/>
      <c r="L63" s="22"/>
      <c r="M63" s="1"/>
      <c r="N63" s="1"/>
      <c r="O63" s="1"/>
      <c r="P63" s="1"/>
      <c r="Q63" s="1"/>
      <c r="R63" s="1"/>
      <c r="S63" s="1"/>
      <c r="T63" s="1"/>
      <c r="U63" s="1"/>
      <c r="V63" s="1"/>
      <c r="W63" s="25"/>
      <c r="X63" s="1"/>
    </row>
    <row r="64" spans="1:24" ht="15.75">
      <c r="A64" s="12"/>
      <c r="B64" s="18"/>
      <c r="C64" s="19"/>
      <c r="D64" s="18"/>
      <c r="E64" s="18">
        <f>+B65-C63</f>
        <v>19.100000000000023</v>
      </c>
      <c r="F64" s="24"/>
      <c r="G64" s="1"/>
      <c r="H64" s="1"/>
      <c r="I64" s="8">
        <f>+G65-G63</f>
        <v>20</v>
      </c>
      <c r="J64" s="8">
        <f>+H65-H63</f>
        <v>20</v>
      </c>
      <c r="K64" s="22">
        <v>40</v>
      </c>
      <c r="L64" s="22">
        <f>(E64/K64)*60</f>
        <v>28.650000000000034</v>
      </c>
      <c r="M64" s="9">
        <f>+I64/K64*60</f>
        <v>30</v>
      </c>
      <c r="N64" s="9">
        <f>+J64/K64*60</f>
        <v>30</v>
      </c>
      <c r="O64" s="9">
        <f>+N64+M64</f>
        <v>60</v>
      </c>
      <c r="P64" s="9">
        <f>+(I64+J64)/(O64/60)</f>
        <v>40</v>
      </c>
      <c r="Q64" s="6">
        <f>+Q58</f>
        <v>0.1</v>
      </c>
      <c r="R64" s="9">
        <f>+P64-(P64*Q64)</f>
        <v>36</v>
      </c>
      <c r="S64" s="23">
        <f>+(I64+J64)/R64</f>
        <v>1.1111111111111112</v>
      </c>
      <c r="T64" s="22">
        <f>+(2*($C$5-$C$6)/(S64*60+$C$8))*$C$9/100</f>
        <v>27.996279069767439</v>
      </c>
      <c r="U64" s="22">
        <f>+T64/2</f>
        <v>13.99813953488372</v>
      </c>
      <c r="V64" s="22">
        <f>+V58</f>
        <v>1</v>
      </c>
      <c r="W64" s="25">
        <f>+U64-V64</f>
        <v>12.99813953488372</v>
      </c>
      <c r="X64" s="1"/>
    </row>
    <row r="65" spans="1:24" ht="15.75">
      <c r="A65" s="17" t="s">
        <v>65</v>
      </c>
      <c r="B65" s="18">
        <v>834.9</v>
      </c>
      <c r="C65" s="18">
        <v>835.8</v>
      </c>
      <c r="D65" s="18">
        <f>((C65-B65)/2)+B65</f>
        <v>835.34999999999991</v>
      </c>
      <c r="E65" s="18"/>
      <c r="F65" s="21">
        <f>+(C65-B65)*1000</f>
        <v>899.99999999997726</v>
      </c>
      <c r="G65" s="8">
        <f>+B65+([4]Premissas!$C$109/1000+[4]Premissas!$C$110/1000/2)</f>
        <v>835.00567000000001</v>
      </c>
      <c r="H65" s="8">
        <f>+C65-([4]Premissas!$C$109/1000+[4]Premissas!$C$110/1000/2)</f>
        <v>835.69432999999992</v>
      </c>
      <c r="I65" s="1"/>
      <c r="J65" s="1"/>
      <c r="K65" s="22"/>
      <c r="L65" s="22"/>
      <c r="M65" s="1"/>
      <c r="N65" s="1"/>
      <c r="O65" s="1"/>
      <c r="P65" s="1"/>
      <c r="Q65" s="1"/>
      <c r="R65" s="1"/>
      <c r="S65" s="1"/>
      <c r="T65" s="1"/>
      <c r="U65" s="1"/>
      <c r="V65" s="1"/>
      <c r="W65" s="25"/>
      <c r="X65" s="1"/>
    </row>
    <row r="66" spans="1:24" ht="15.75">
      <c r="A66" s="12"/>
      <c r="B66" s="18"/>
      <c r="C66" s="19"/>
      <c r="D66" s="18"/>
      <c r="E66" s="18">
        <f>+B67-C65</f>
        <v>32.300000000000068</v>
      </c>
      <c r="F66" s="24"/>
      <c r="G66" s="1"/>
      <c r="H66" s="1"/>
      <c r="I66" s="8">
        <f>+G67-G65</f>
        <v>33.200000000000045</v>
      </c>
      <c r="J66" s="8">
        <f>+H67-H65</f>
        <v>33.200000000000045</v>
      </c>
      <c r="K66" s="22">
        <v>40</v>
      </c>
      <c r="L66" s="22">
        <f>(E66/K66)*60</f>
        <v>48.450000000000102</v>
      </c>
      <c r="M66" s="9">
        <f>+I66/K66*60</f>
        <v>49.800000000000068</v>
      </c>
      <c r="N66" s="9">
        <f>+J66/K66*60</f>
        <v>49.800000000000068</v>
      </c>
      <c r="O66" s="9">
        <f>+N66+M66</f>
        <v>99.600000000000136</v>
      </c>
      <c r="P66" s="9">
        <f>+(I66+J66)/(O66/60)</f>
        <v>40</v>
      </c>
      <c r="Q66" s="6">
        <f>+Q60</f>
        <v>0.1</v>
      </c>
      <c r="R66" s="9">
        <f>+P66-(P66*Q66)</f>
        <v>36</v>
      </c>
      <c r="S66" s="23">
        <f>+(I66+J66)/R66</f>
        <v>1.844444444444447</v>
      </c>
      <c r="T66" s="22">
        <f>+(2*($C$5-$C$6)/(S66*60+$C$8))*$C$9/100</f>
        <v>17.346397694524473</v>
      </c>
      <c r="U66" s="22">
        <f>+T66/2</f>
        <v>8.6731988472622366</v>
      </c>
      <c r="V66" s="22">
        <f>+V60</f>
        <v>1</v>
      </c>
      <c r="W66" s="25">
        <f>+U66-V66</f>
        <v>7.6731988472622366</v>
      </c>
      <c r="X66" s="24"/>
    </row>
    <row r="67" spans="1:24" ht="15.75">
      <c r="A67" s="17" t="s">
        <v>66</v>
      </c>
      <c r="B67" s="18">
        <v>868.1</v>
      </c>
      <c r="C67" s="18">
        <v>869</v>
      </c>
      <c r="D67" s="18">
        <f>((C67-B67)/2)+B67</f>
        <v>868.55</v>
      </c>
      <c r="E67" s="18"/>
      <c r="F67" s="21">
        <f>+(C67-B67)*1000</f>
        <v>899.99999999997726</v>
      </c>
      <c r="G67" s="8">
        <f>+B67+([4]Premissas!$C$109/1000+[4]Premissas!$C$110/1000/2)</f>
        <v>868.20567000000005</v>
      </c>
      <c r="H67" s="8">
        <f>+C67-([4]Premissas!$C$109/1000+[4]Premissas!$C$110/1000/2)</f>
        <v>868.89432999999997</v>
      </c>
      <c r="I67" s="1"/>
      <c r="J67" s="1"/>
      <c r="K67" s="22"/>
      <c r="L67" s="22"/>
      <c r="M67" s="1"/>
      <c r="N67" s="1"/>
      <c r="O67" s="1"/>
      <c r="P67" s="1"/>
      <c r="Q67" s="1"/>
      <c r="R67" s="1"/>
      <c r="S67" s="1"/>
      <c r="T67" s="1"/>
      <c r="U67" s="1"/>
      <c r="V67" s="1"/>
      <c r="W67" s="25"/>
      <c r="X67" s="1"/>
    </row>
    <row r="68" spans="1:24" ht="15.75">
      <c r="A68" s="12"/>
      <c r="B68" s="18"/>
      <c r="C68" s="19"/>
      <c r="D68" s="18"/>
      <c r="E68" s="18">
        <f>+B69-C67</f>
        <v>5.3999999999999773</v>
      </c>
      <c r="F68" s="24"/>
      <c r="G68" s="1"/>
      <c r="H68" s="1"/>
      <c r="I68" s="8">
        <f>+G69-G67</f>
        <v>6.2999999999999545</v>
      </c>
      <c r="J68" s="8">
        <f>+H69-H67</f>
        <v>6.2999999999999545</v>
      </c>
      <c r="K68" s="22">
        <v>40</v>
      </c>
      <c r="L68" s="22">
        <f>(E68/K68)*60</f>
        <v>8.0999999999999659</v>
      </c>
      <c r="M68" s="9">
        <f>+I68/K68*60</f>
        <v>9.4499999999999318</v>
      </c>
      <c r="N68" s="9">
        <f>+J68/K68*60</f>
        <v>9.4499999999999318</v>
      </c>
      <c r="O68" s="9">
        <f>+N68+M68</f>
        <v>18.899999999999864</v>
      </c>
      <c r="P68" s="9">
        <f>+(I68+J68)/(O68/60)</f>
        <v>40</v>
      </c>
      <c r="Q68" s="6">
        <f>+Q62</f>
        <v>0.1</v>
      </c>
      <c r="R68" s="9">
        <f>+P68-(P68*Q68)</f>
        <v>36</v>
      </c>
      <c r="S68" s="23">
        <f>+(I68+J68)/R68</f>
        <v>0.34999999999999748</v>
      </c>
      <c r="T68" s="22">
        <f>+(2*($C$5-$C$6)/(S68*60+$C$8))*$C$9/100</f>
        <v>77.16923076923122</v>
      </c>
      <c r="U68" s="22">
        <f>+T68/2</f>
        <v>38.58461538461561</v>
      </c>
      <c r="V68" s="22">
        <f>+V62</f>
        <v>1</v>
      </c>
      <c r="W68" s="25">
        <f>+U68-V68</f>
        <v>37.58461538461561</v>
      </c>
      <c r="X68" s="1"/>
    </row>
    <row r="69" spans="1:24" ht="15.75">
      <c r="A69" s="17" t="s">
        <v>67</v>
      </c>
      <c r="B69" s="18">
        <v>874.4</v>
      </c>
      <c r="C69" s="18">
        <v>875.3</v>
      </c>
      <c r="D69" s="18">
        <f>((C69-B69)/2)+B69</f>
        <v>874.84999999999991</v>
      </c>
      <c r="E69" s="18"/>
      <c r="F69" s="21">
        <f>+(C69-B69)*1000</f>
        <v>899.99999999997726</v>
      </c>
      <c r="G69" s="8">
        <f>+B69+([4]Premissas!$C$109/1000+[4]Premissas!$C$110/1000/2)</f>
        <v>874.50567000000001</v>
      </c>
      <c r="H69" s="8">
        <f>+C69-([4]Premissas!$C$109/1000+[4]Premissas!$C$110/1000/2)</f>
        <v>875.19432999999992</v>
      </c>
      <c r="I69" s="1"/>
      <c r="J69" s="1"/>
      <c r="K69" s="22"/>
      <c r="L69" s="22"/>
      <c r="M69" s="1"/>
      <c r="N69" s="1"/>
      <c r="O69" s="1"/>
      <c r="P69" s="1"/>
      <c r="Q69" s="1"/>
      <c r="R69" s="1"/>
      <c r="S69" s="1"/>
      <c r="T69" s="1"/>
      <c r="U69" s="1"/>
      <c r="V69" s="1"/>
      <c r="W69" s="25"/>
      <c r="X69" s="1"/>
    </row>
    <row r="70" spans="1:24" ht="15.75">
      <c r="A70" s="12"/>
      <c r="B70" s="18"/>
      <c r="C70" s="19"/>
      <c r="D70" s="18"/>
      <c r="E70" s="18">
        <f>+B71-C69</f>
        <v>8.3000000000000682</v>
      </c>
      <c r="F70" s="24"/>
      <c r="G70" s="1"/>
      <c r="H70" s="1"/>
      <c r="I70" s="8">
        <f>+G71-G69</f>
        <v>9.2000000000000455</v>
      </c>
      <c r="J70" s="8">
        <f>+H71-H69</f>
        <v>9.2000000000000455</v>
      </c>
      <c r="K70" s="22">
        <v>40</v>
      </c>
      <c r="L70" s="22">
        <f>(E70/K70)*60</f>
        <v>12.450000000000102</v>
      </c>
      <c r="M70" s="9">
        <f>+I70/K70*60</f>
        <v>13.800000000000068</v>
      </c>
      <c r="N70" s="9">
        <f>+J70/K70*60</f>
        <v>13.800000000000068</v>
      </c>
      <c r="O70" s="9">
        <f>+N70+M70</f>
        <v>27.600000000000136</v>
      </c>
      <c r="P70" s="9">
        <f>+(I70+J70)/(O70/60)</f>
        <v>40</v>
      </c>
      <c r="Q70" s="6">
        <f>+Q64</f>
        <v>0.1</v>
      </c>
      <c r="R70" s="9">
        <f>+P70-(P70*Q70)</f>
        <v>36</v>
      </c>
      <c r="S70" s="23">
        <f>+(I70+J70)/R70</f>
        <v>0.51111111111111363</v>
      </c>
      <c r="T70" s="22">
        <f>+(2*($C$5-$C$6)/(S70*60+$C$8))*$C$9/100</f>
        <v>56.254205607476408</v>
      </c>
      <c r="U70" s="22">
        <f>+T70/2</f>
        <v>28.127102803738204</v>
      </c>
      <c r="V70" s="22">
        <f>+V64</f>
        <v>1</v>
      </c>
      <c r="W70" s="25">
        <f>+U70-V70</f>
        <v>27.127102803738204</v>
      </c>
      <c r="X70" s="1"/>
    </row>
    <row r="71" spans="1:24" ht="15.75">
      <c r="A71" s="17" t="s">
        <v>68</v>
      </c>
      <c r="B71" s="18">
        <v>883.6</v>
      </c>
      <c r="C71" s="18">
        <v>884.5</v>
      </c>
      <c r="D71" s="18">
        <f>((C71-B71)/2)+B71</f>
        <v>884.05</v>
      </c>
      <c r="E71" s="18"/>
      <c r="F71" s="21">
        <f>+(C71-B71)*1000</f>
        <v>899.99999999997726</v>
      </c>
      <c r="G71" s="8">
        <f>+B71+([4]Premissas!$C$109/1000+[4]Premissas!$C$110/1000/2)</f>
        <v>883.70567000000005</v>
      </c>
      <c r="H71" s="8">
        <f>+C71-([4]Premissas!$C$109/1000+[4]Premissas!$C$110/1000/2)</f>
        <v>884.39432999999997</v>
      </c>
      <c r="I71" s="1"/>
      <c r="J71" s="1"/>
      <c r="K71" s="22"/>
      <c r="L71" s="22"/>
      <c r="M71" s="1"/>
      <c r="N71" s="1"/>
      <c r="O71" s="1"/>
      <c r="P71" s="1"/>
      <c r="Q71" s="1"/>
      <c r="R71" s="1"/>
      <c r="S71" s="1"/>
      <c r="T71" s="1"/>
      <c r="U71" s="1"/>
      <c r="V71" s="1"/>
      <c r="W71" s="25"/>
      <c r="X71" s="1"/>
    </row>
    <row r="72" spans="1:24" ht="15.75">
      <c r="A72" s="12"/>
      <c r="B72" s="18"/>
      <c r="C72" s="19"/>
      <c r="D72" s="18"/>
      <c r="E72" s="18">
        <f>+B73-C71</f>
        <v>18.399999999999977</v>
      </c>
      <c r="F72" s="24"/>
      <c r="G72" s="8"/>
      <c r="H72" s="8"/>
      <c r="I72" s="8">
        <f>+G73-G71</f>
        <v>19.299999999999955</v>
      </c>
      <c r="J72" s="8">
        <f>+H73-H71</f>
        <v>19.299999999999955</v>
      </c>
      <c r="K72" s="22">
        <v>40</v>
      </c>
      <c r="L72" s="22">
        <f>(E72/K72)*60</f>
        <v>27.599999999999966</v>
      </c>
      <c r="M72" s="9">
        <f>+I72/K72*60</f>
        <v>28.949999999999932</v>
      </c>
      <c r="N72" s="9">
        <f>+J72/K72*60</f>
        <v>28.949999999999932</v>
      </c>
      <c r="O72" s="9">
        <f>+N72+M72</f>
        <v>57.899999999999864</v>
      </c>
      <c r="P72" s="9">
        <f>+(I72+J72)/(O72/60)</f>
        <v>40</v>
      </c>
      <c r="Q72" s="6">
        <f>+Q66</f>
        <v>0.1</v>
      </c>
      <c r="R72" s="9">
        <f>+P72-(P72*Q72)</f>
        <v>36</v>
      </c>
      <c r="S72" s="23">
        <f>+(I72+J72)/R72</f>
        <v>1.0722222222222197</v>
      </c>
      <c r="T72" s="22">
        <f>+(2*($C$5-$C$6)/(S72*60+$C$8))*$C$9/100</f>
        <v>28.938461538461603</v>
      </c>
      <c r="U72" s="22">
        <f>+T72/2</f>
        <v>14.469230769230801</v>
      </c>
      <c r="V72" s="22">
        <f>+V66</f>
        <v>1</v>
      </c>
      <c r="W72" s="25">
        <f>+U72-V72</f>
        <v>13.469230769230801</v>
      </c>
      <c r="X72" s="24"/>
    </row>
    <row r="73" spans="1:24" ht="15.75">
      <c r="A73" s="17" t="s">
        <v>69</v>
      </c>
      <c r="B73" s="18">
        <v>902.9</v>
      </c>
      <c r="C73" s="18">
        <v>903.8</v>
      </c>
      <c r="D73" s="18">
        <f>((C73-B73)/2)+B73</f>
        <v>903.34999999999991</v>
      </c>
      <c r="E73" s="18"/>
      <c r="F73" s="21">
        <f>+(C73-B73)*1000</f>
        <v>899.99999999997726</v>
      </c>
      <c r="G73" s="8">
        <f>+B73+([4]Premissas!$C$109/1000+[4]Premissas!$C$110/1000/2)</f>
        <v>903.00567000000001</v>
      </c>
      <c r="H73" s="8">
        <f>+C73-([4]Premissas!$C$109/1000+[4]Premissas!$C$110/1000/2)</f>
        <v>903.69432999999992</v>
      </c>
      <c r="I73" s="8"/>
      <c r="J73" s="8"/>
      <c r="K73" s="22"/>
      <c r="L73" s="22"/>
      <c r="M73" s="1"/>
      <c r="N73" s="1"/>
      <c r="O73" s="1"/>
      <c r="P73" s="1"/>
      <c r="Q73" s="1"/>
      <c r="R73" s="1"/>
      <c r="S73" s="1"/>
      <c r="T73" s="1"/>
      <c r="U73" s="1"/>
      <c r="V73" s="1"/>
      <c r="W73" s="25"/>
      <c r="X73" s="1"/>
    </row>
    <row r="74" spans="1:24" ht="16.5" thickBot="1">
      <c r="A74" s="15"/>
      <c r="B74" s="29"/>
      <c r="C74" s="29"/>
      <c r="D74" s="61"/>
      <c r="E74" s="29"/>
      <c r="F74" s="30"/>
      <c r="G74" s="31"/>
      <c r="H74" s="31"/>
      <c r="I74" s="32"/>
      <c r="J74" s="32"/>
      <c r="K74" s="33"/>
      <c r="L74" s="33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</row>
    <row r="75" spans="1:24" ht="15.75">
      <c r="A75" s="12">
        <v>8</v>
      </c>
      <c r="B75" s="36" t="s">
        <v>13</v>
      </c>
      <c r="C75" s="36"/>
      <c r="D75" s="62"/>
      <c r="E75" s="62"/>
      <c r="F75" s="37">
        <f>SUM(F57:F73)-F57</f>
        <v>7199.9999999999318</v>
      </c>
      <c r="G75" s="8"/>
      <c r="H75" s="8"/>
      <c r="I75" s="1"/>
      <c r="J75" s="1"/>
      <c r="K75" s="22"/>
      <c r="L75" s="22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>
      <c r="A76" s="1"/>
      <c r="B76" s="38"/>
      <c r="C76" s="38"/>
      <c r="D76" s="39"/>
      <c r="E76" s="39"/>
      <c r="F76" s="40"/>
      <c r="G76" s="41"/>
      <c r="H76" s="41"/>
      <c r="I76" s="2"/>
      <c r="J76" s="2"/>
      <c r="K76" s="42"/>
      <c r="L76" s="42"/>
      <c r="M76" s="2"/>
      <c r="N76" s="2"/>
      <c r="O76" s="2"/>
      <c r="P76" s="1" t="s">
        <v>56</v>
      </c>
      <c r="Q76" s="1"/>
      <c r="R76" s="1"/>
      <c r="S76" s="1"/>
      <c r="T76" s="1"/>
      <c r="U76" s="1"/>
      <c r="V76" s="22">
        <f>+U58</f>
        <v>6.9990697674418607</v>
      </c>
      <c r="W76" s="2"/>
      <c r="X76" s="2"/>
    </row>
    <row r="77" spans="1:24">
      <c r="A77" s="1"/>
      <c r="B77" s="1"/>
      <c r="C77" s="1"/>
      <c r="D77" s="1"/>
      <c r="E77" s="4"/>
      <c r="F77" s="1"/>
      <c r="G77" s="1"/>
      <c r="H77" s="1"/>
      <c r="I77" s="1"/>
      <c r="J77" s="1"/>
      <c r="K77" s="1"/>
      <c r="L77" s="1"/>
      <c r="M77" s="1"/>
      <c r="N77" s="1"/>
      <c r="O77" s="1"/>
      <c r="P77" s="1" t="s">
        <v>57</v>
      </c>
      <c r="Q77" s="1"/>
      <c r="R77" s="1"/>
      <c r="S77" s="1"/>
      <c r="T77" s="1"/>
      <c r="U77" s="1"/>
      <c r="V77" s="22">
        <f>+W58</f>
        <v>5.9990697674418607</v>
      </c>
      <c r="W77" s="24"/>
      <c r="X77" s="1"/>
    </row>
    <row r="78" spans="1:24">
      <c r="A78" s="1" t="s">
        <v>79</v>
      </c>
      <c r="B78" s="1"/>
      <c r="C78" s="1"/>
      <c r="D78" s="1"/>
      <c r="E78" s="4"/>
      <c r="F78" s="1"/>
      <c r="G78" s="1"/>
      <c r="H78" s="1"/>
      <c r="I78" s="1"/>
      <c r="J78" s="1"/>
      <c r="K78" s="1"/>
      <c r="L78" s="1"/>
      <c r="M78" s="1"/>
      <c r="N78" s="1"/>
      <c r="O78" s="1"/>
      <c r="P78" s="1" t="s">
        <v>58</v>
      </c>
      <c r="Q78" s="1"/>
      <c r="R78" s="1"/>
      <c r="S78" s="1"/>
      <c r="T78" s="1"/>
      <c r="U78" s="1"/>
      <c r="V78" s="5">
        <f>+[4]Frotas!O149</f>
        <v>2106</v>
      </c>
      <c r="W78" s="1"/>
      <c r="X78" s="1"/>
    </row>
    <row r="79" spans="1:24">
      <c r="A79" s="1"/>
      <c r="B79" s="1"/>
      <c r="C79" s="1"/>
      <c r="D79" s="1"/>
      <c r="E79" s="4"/>
      <c r="F79" s="1"/>
      <c r="G79" s="1"/>
      <c r="H79" s="1"/>
      <c r="I79" s="1"/>
      <c r="J79" s="1"/>
      <c r="K79" s="1"/>
      <c r="L79" s="1"/>
      <c r="M79" s="1"/>
      <c r="N79" s="1"/>
      <c r="O79" s="1"/>
      <c r="P79" s="43" t="s">
        <v>59</v>
      </c>
      <c r="Q79" s="43"/>
      <c r="R79" s="43"/>
      <c r="S79" s="43"/>
      <c r="T79" s="43"/>
      <c r="U79" s="43"/>
      <c r="V79" s="43">
        <f>+[4]Premissas!O124</f>
        <v>330</v>
      </c>
      <c r="W79" s="43"/>
      <c r="X79" s="43"/>
    </row>
    <row r="80" spans="1:24" ht="15.75">
      <c r="A80" s="1"/>
      <c r="B80" s="1"/>
      <c r="C80" s="1"/>
      <c r="D80" s="1"/>
      <c r="E80" s="4"/>
      <c r="F80" s="1"/>
      <c r="G80" s="1"/>
      <c r="H80" s="1"/>
      <c r="I80" s="1"/>
      <c r="J80" s="1"/>
      <c r="K80" s="1"/>
      <c r="L80" s="1"/>
      <c r="M80" s="1"/>
      <c r="N80" s="1"/>
      <c r="O80" s="1"/>
      <c r="P80" s="44" t="s">
        <v>60</v>
      </c>
      <c r="Q80" s="44"/>
      <c r="R80" s="44"/>
      <c r="S80" s="1"/>
      <c r="T80" s="44"/>
      <c r="U80" s="44"/>
      <c r="V80" s="45">
        <f>+(V77*V78*V79)/1000000</f>
        <v>4.1692335069767443</v>
      </c>
      <c r="W80" s="44"/>
      <c r="X80" s="44"/>
    </row>
    <row r="81" spans="1:24" ht="15.75">
      <c r="A81" s="1"/>
      <c r="B81" s="1"/>
      <c r="C81" s="1"/>
      <c r="D81" s="1"/>
      <c r="E81" s="4"/>
      <c r="F81" s="1"/>
      <c r="G81" s="1"/>
      <c r="H81" s="1"/>
      <c r="I81" s="1"/>
      <c r="J81" s="1"/>
      <c r="K81" s="1"/>
      <c r="L81" s="1"/>
      <c r="M81" s="1"/>
      <c r="N81" s="1"/>
      <c r="O81" s="1"/>
      <c r="P81" s="44" t="s">
        <v>60</v>
      </c>
      <c r="Q81" s="44"/>
      <c r="R81" s="44"/>
      <c r="S81" s="1"/>
      <c r="T81" s="46">
        <f>+[4]Premissas!O117/100</f>
        <v>0.1</v>
      </c>
      <c r="U81" s="44"/>
      <c r="V81" s="45">
        <f>+V80/(1+T81)</f>
        <v>3.7902122790697672</v>
      </c>
      <c r="W81" s="44" t="s">
        <v>61</v>
      </c>
      <c r="X81" s="44"/>
    </row>
  </sheetData>
  <mergeCells count="50">
    <mergeCell ref="H12:H13"/>
    <mergeCell ref="A11:A14"/>
    <mergeCell ref="B11:E11"/>
    <mergeCell ref="F11:F13"/>
    <mergeCell ref="G11:H11"/>
    <mergeCell ref="B12:B13"/>
    <mergeCell ref="C12:C13"/>
    <mergeCell ref="D12:D13"/>
    <mergeCell ref="E12:E13"/>
    <mergeCell ref="G12:G13"/>
    <mergeCell ref="I11:J11"/>
    <mergeCell ref="K11:K13"/>
    <mergeCell ref="L11:L13"/>
    <mergeCell ref="M11:P11"/>
    <mergeCell ref="I12:I13"/>
    <mergeCell ref="J12:J13"/>
    <mergeCell ref="O12:P12"/>
    <mergeCell ref="W12:W14"/>
    <mergeCell ref="R11:R13"/>
    <mergeCell ref="T11:U11"/>
    <mergeCell ref="V11:W11"/>
    <mergeCell ref="X11:X14"/>
    <mergeCell ref="T12:T14"/>
    <mergeCell ref="U12:U14"/>
    <mergeCell ref="V12:V14"/>
    <mergeCell ref="H54:H55"/>
    <mergeCell ref="A53:A56"/>
    <mergeCell ref="B53:E53"/>
    <mergeCell ref="F53:F55"/>
    <mergeCell ref="G53:H53"/>
    <mergeCell ref="B54:B55"/>
    <mergeCell ref="C54:C55"/>
    <mergeCell ref="D54:D55"/>
    <mergeCell ref="E54:E55"/>
    <mergeCell ref="G54:G55"/>
    <mergeCell ref="I53:J53"/>
    <mergeCell ref="K53:K55"/>
    <mergeCell ref="L53:L55"/>
    <mergeCell ref="M53:P53"/>
    <mergeCell ref="I54:I55"/>
    <mergeCell ref="J54:J55"/>
    <mergeCell ref="O54:P54"/>
    <mergeCell ref="W54:W56"/>
    <mergeCell ref="R53:R55"/>
    <mergeCell ref="T53:U53"/>
    <mergeCell ref="V53:W53"/>
    <mergeCell ref="X53:X56"/>
    <mergeCell ref="T54:T56"/>
    <mergeCell ref="U54:U56"/>
    <mergeCell ref="V54:V5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 5.6.63.7 a 5.6.63.8 PVCh45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2011-04-14T17:10:13Z</dcterms:created>
  <dcterms:modified xsi:type="dcterms:W3CDTF">2011-08-25T14:57:06Z</dcterms:modified>
</cp:coreProperties>
</file>