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90" windowWidth="16035" windowHeight="7185"/>
  </bookViews>
  <sheets>
    <sheet name="TAB 5.6.63.1 a 5.6.63.6 PVAr45" sheetId="1" r:id="rId1"/>
  </sheets>
  <externalReferences>
    <externalReference r:id="rId2"/>
    <externalReference r:id="rId3"/>
    <externalReference r:id="rId4"/>
    <externalReference r:id="rId5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C305" i="1"/>
  <c r="C245"/>
  <c r="H245" s="1"/>
  <c r="B245"/>
  <c r="B247" s="1"/>
  <c r="U238"/>
  <c r="U237"/>
  <c r="U236"/>
  <c r="V246" s="1"/>
  <c r="V248" s="1"/>
  <c r="V250" s="1"/>
  <c r="V252" s="1"/>
  <c r="V256" s="1"/>
  <c r="V258" s="1"/>
  <c r="V260" s="1"/>
  <c r="V262" s="1"/>
  <c r="V264" s="1"/>
  <c r="V266" s="1"/>
  <c r="V268" s="1"/>
  <c r="V270" s="1"/>
  <c r="V272" s="1"/>
  <c r="V274" s="1"/>
  <c r="V276" s="1"/>
  <c r="U235"/>
  <c r="Q246" s="1"/>
  <c r="Q248" s="1"/>
  <c r="Q250" s="1"/>
  <c r="Q252" s="1"/>
  <c r="Q256" s="1"/>
  <c r="Q258" s="1"/>
  <c r="Q260" s="1"/>
  <c r="Q262" s="1"/>
  <c r="Q264" s="1"/>
  <c r="Q266" s="1"/>
  <c r="Q268" s="1"/>
  <c r="Q270" s="1"/>
  <c r="Q272" s="1"/>
  <c r="Q274" s="1"/>
  <c r="Q276" s="1"/>
  <c r="T228"/>
  <c r="T312" s="1"/>
  <c r="U226"/>
  <c r="U310" s="1"/>
  <c r="U225"/>
  <c r="U309" s="1"/>
  <c r="C221"/>
  <c r="B221"/>
  <c r="J220"/>
  <c r="I220"/>
  <c r="C219"/>
  <c r="B219"/>
  <c r="J218"/>
  <c r="I218"/>
  <c r="C217"/>
  <c r="B217"/>
  <c r="K216"/>
  <c r="K218" s="1"/>
  <c r="K220" s="1"/>
  <c r="J216"/>
  <c r="I216"/>
  <c r="C215"/>
  <c r="E216" s="1"/>
  <c r="B215"/>
  <c r="D215" s="1"/>
  <c r="J214"/>
  <c r="N214" s="1"/>
  <c r="I214"/>
  <c r="C213"/>
  <c r="B213"/>
  <c r="C207"/>
  <c r="C239" s="1"/>
  <c r="U206"/>
  <c r="C206"/>
  <c r="C238" s="1"/>
  <c r="U205"/>
  <c r="U204"/>
  <c r="V214" s="1"/>
  <c r="V216" s="1"/>
  <c r="V218" s="1"/>
  <c r="V220" s="1"/>
  <c r="C204"/>
  <c r="C236" s="1"/>
  <c r="U203"/>
  <c r="Q214" s="1"/>
  <c r="Q216" s="1"/>
  <c r="Q218" s="1"/>
  <c r="Q220" s="1"/>
  <c r="C190"/>
  <c r="H190" s="1"/>
  <c r="B190"/>
  <c r="G190" s="1"/>
  <c r="C188"/>
  <c r="H188" s="1"/>
  <c r="B188"/>
  <c r="G188" s="1"/>
  <c r="C186"/>
  <c r="B186"/>
  <c r="G186" s="1"/>
  <c r="C184"/>
  <c r="B184"/>
  <c r="G184" s="1"/>
  <c r="C182"/>
  <c r="B182"/>
  <c r="G182" s="1"/>
  <c r="C180"/>
  <c r="H180" s="1"/>
  <c r="B180"/>
  <c r="G180" s="1"/>
  <c r="C178"/>
  <c r="H178" s="1"/>
  <c r="B178"/>
  <c r="G178" s="1"/>
  <c r="C176"/>
  <c r="H176" s="1"/>
  <c r="B176"/>
  <c r="G176" s="1"/>
  <c r="C174"/>
  <c r="H174" s="1"/>
  <c r="B174"/>
  <c r="G174" s="1"/>
  <c r="K173"/>
  <c r="K175" s="1"/>
  <c r="K177" s="1"/>
  <c r="K179" s="1"/>
  <c r="K181" s="1"/>
  <c r="K183" s="1"/>
  <c r="K185" s="1"/>
  <c r="K187" s="1"/>
  <c r="K189" s="1"/>
  <c r="C172"/>
  <c r="H172" s="1"/>
  <c r="B172"/>
  <c r="G172" s="1"/>
  <c r="C170"/>
  <c r="H170" s="1"/>
  <c r="B170"/>
  <c r="G170" s="1"/>
  <c r="C147"/>
  <c r="H147" s="1"/>
  <c r="B147"/>
  <c r="G147" s="1"/>
  <c r="C145"/>
  <c r="B145"/>
  <c r="G145" s="1"/>
  <c r="I146" s="1"/>
  <c r="C143"/>
  <c r="B143"/>
  <c r="G143" s="1"/>
  <c r="I144" s="1"/>
  <c r="C141"/>
  <c r="B141"/>
  <c r="G141" s="1"/>
  <c r="I142" s="1"/>
  <c r="C139"/>
  <c r="B139"/>
  <c r="G139" s="1"/>
  <c r="I140" s="1"/>
  <c r="C137"/>
  <c r="H137" s="1"/>
  <c r="B137"/>
  <c r="G137" s="1"/>
  <c r="I138" s="1"/>
  <c r="C135"/>
  <c r="H135" s="1"/>
  <c r="J136" s="1"/>
  <c r="B135"/>
  <c r="G135" s="1"/>
  <c r="I136" s="1"/>
  <c r="K134"/>
  <c r="K136" s="1"/>
  <c r="K138" s="1"/>
  <c r="K140" s="1"/>
  <c r="K142" s="1"/>
  <c r="K144" s="1"/>
  <c r="K146" s="1"/>
  <c r="C133"/>
  <c r="H133" s="1"/>
  <c r="B133"/>
  <c r="G133" s="1"/>
  <c r="C131"/>
  <c r="B131"/>
  <c r="G131" s="1"/>
  <c r="I132" s="1"/>
  <c r="C121"/>
  <c r="C108"/>
  <c r="B108"/>
  <c r="G108" s="1"/>
  <c r="C106"/>
  <c r="B106"/>
  <c r="G106" s="1"/>
  <c r="C104"/>
  <c r="B104"/>
  <c r="G104" s="1"/>
  <c r="C102"/>
  <c r="B102"/>
  <c r="G102" s="1"/>
  <c r="C100"/>
  <c r="B100"/>
  <c r="G100" s="1"/>
  <c r="C98"/>
  <c r="B98"/>
  <c r="G98" s="1"/>
  <c r="C96"/>
  <c r="B96"/>
  <c r="G96" s="1"/>
  <c r="C94"/>
  <c r="B94"/>
  <c r="G94" s="1"/>
  <c r="C92"/>
  <c r="B92"/>
  <c r="G92" s="1"/>
  <c r="C90"/>
  <c r="B90"/>
  <c r="G90" s="1"/>
  <c r="C88"/>
  <c r="B88"/>
  <c r="G88" s="1"/>
  <c r="C86"/>
  <c r="H86" s="1"/>
  <c r="B86"/>
  <c r="G86" s="1"/>
  <c r="C84"/>
  <c r="H84" s="1"/>
  <c r="B84"/>
  <c r="G84" s="1"/>
  <c r="C82"/>
  <c r="H82" s="1"/>
  <c r="B82"/>
  <c r="G82" s="1"/>
  <c r="C80"/>
  <c r="H80" s="1"/>
  <c r="B80"/>
  <c r="G80" s="1"/>
  <c r="C78"/>
  <c r="H78" s="1"/>
  <c r="B78"/>
  <c r="G78" s="1"/>
  <c r="K77"/>
  <c r="K79" s="1"/>
  <c r="K81" s="1"/>
  <c r="K83" s="1"/>
  <c r="K85" s="1"/>
  <c r="K87" s="1"/>
  <c r="K89" s="1"/>
  <c r="K91" s="1"/>
  <c r="K93" s="1"/>
  <c r="K95" s="1"/>
  <c r="K97" s="1"/>
  <c r="K99" s="1"/>
  <c r="K101" s="1"/>
  <c r="K103" s="1"/>
  <c r="K105" s="1"/>
  <c r="K107" s="1"/>
  <c r="C76"/>
  <c r="H76" s="1"/>
  <c r="B76"/>
  <c r="G76" s="1"/>
  <c r="C74"/>
  <c r="B74"/>
  <c r="G74" s="1"/>
  <c r="T58"/>
  <c r="T115" s="1"/>
  <c r="T154" s="1"/>
  <c r="T197" s="1"/>
  <c r="U56"/>
  <c r="U113" s="1"/>
  <c r="U152" s="1"/>
  <c r="U195" s="1"/>
  <c r="U55"/>
  <c r="U112" s="1"/>
  <c r="U151" s="1"/>
  <c r="U194" s="1"/>
  <c r="C51"/>
  <c r="H51" s="1"/>
  <c r="B51"/>
  <c r="G51" s="1"/>
  <c r="C49"/>
  <c r="H49" s="1"/>
  <c r="B49"/>
  <c r="G49" s="1"/>
  <c r="C47"/>
  <c r="H47" s="1"/>
  <c r="B47"/>
  <c r="G47" s="1"/>
  <c r="C45"/>
  <c r="H45" s="1"/>
  <c r="B45"/>
  <c r="G45" s="1"/>
  <c r="C43"/>
  <c r="H43" s="1"/>
  <c r="B43"/>
  <c r="G43" s="1"/>
  <c r="C41"/>
  <c r="H41" s="1"/>
  <c r="B41"/>
  <c r="G41" s="1"/>
  <c r="C39"/>
  <c r="H39" s="1"/>
  <c r="B39"/>
  <c r="G39" s="1"/>
  <c r="C37"/>
  <c r="H37" s="1"/>
  <c r="B37"/>
  <c r="G37" s="1"/>
  <c r="C35"/>
  <c r="H35" s="1"/>
  <c r="B35"/>
  <c r="G35" s="1"/>
  <c r="C33"/>
  <c r="H33" s="1"/>
  <c r="B33"/>
  <c r="G33" s="1"/>
  <c r="C31"/>
  <c r="B31"/>
  <c r="G31" s="1"/>
  <c r="C29"/>
  <c r="B29"/>
  <c r="G29" s="1"/>
  <c r="C27"/>
  <c r="B27"/>
  <c r="G27" s="1"/>
  <c r="C25"/>
  <c r="B25"/>
  <c r="G25" s="1"/>
  <c r="C23"/>
  <c r="B23"/>
  <c r="G23" s="1"/>
  <c r="C21"/>
  <c r="B21"/>
  <c r="G21" s="1"/>
  <c r="C19"/>
  <c r="B19"/>
  <c r="G19" s="1"/>
  <c r="K18"/>
  <c r="K20" s="1"/>
  <c r="K22" s="1"/>
  <c r="K24" s="1"/>
  <c r="K26" s="1"/>
  <c r="K28" s="1"/>
  <c r="K30" s="1"/>
  <c r="K32" s="1"/>
  <c r="K34" s="1"/>
  <c r="K36" s="1"/>
  <c r="K38" s="1"/>
  <c r="K40" s="1"/>
  <c r="K42" s="1"/>
  <c r="K44" s="1"/>
  <c r="K46" s="1"/>
  <c r="K48" s="1"/>
  <c r="K50" s="1"/>
  <c r="C17"/>
  <c r="E18" s="1"/>
  <c r="B17"/>
  <c r="G17" s="1"/>
  <c r="C15"/>
  <c r="H15" s="1"/>
  <c r="B15"/>
  <c r="G15" s="1"/>
  <c r="C9"/>
  <c r="C68" s="1"/>
  <c r="C125" s="1"/>
  <c r="C164" s="1"/>
  <c r="U8"/>
  <c r="U67" s="1"/>
  <c r="U124" s="1"/>
  <c r="U163" s="1"/>
  <c r="C8"/>
  <c r="C67" s="1"/>
  <c r="C124" s="1"/>
  <c r="C163" s="1"/>
  <c r="U7"/>
  <c r="U66" s="1"/>
  <c r="U123" s="1"/>
  <c r="U162" s="1"/>
  <c r="U6"/>
  <c r="V16" s="1"/>
  <c r="V18" s="1"/>
  <c r="V20" s="1"/>
  <c r="V22" s="1"/>
  <c r="V24" s="1"/>
  <c r="V26" s="1"/>
  <c r="V28" s="1"/>
  <c r="V30" s="1"/>
  <c r="V32" s="1"/>
  <c r="V34" s="1"/>
  <c r="V36" s="1"/>
  <c r="V38" s="1"/>
  <c r="V40" s="1"/>
  <c r="V42" s="1"/>
  <c r="V44" s="1"/>
  <c r="V46" s="1"/>
  <c r="V48" s="1"/>
  <c r="V50" s="1"/>
  <c r="C6"/>
  <c r="U5"/>
  <c r="Q75" s="1"/>
  <c r="Q77" s="1"/>
  <c r="Q79" s="1"/>
  <c r="Q81" s="1"/>
  <c r="Q83" s="1"/>
  <c r="Q85" s="1"/>
  <c r="Q87" s="1"/>
  <c r="Q89" s="1"/>
  <c r="Q91" s="1"/>
  <c r="Q93" s="1"/>
  <c r="Q95" s="1"/>
  <c r="Q97" s="1"/>
  <c r="Q99" s="1"/>
  <c r="Q101" s="1"/>
  <c r="Q103" s="1"/>
  <c r="Q105" s="1"/>
  <c r="Q107" s="1"/>
  <c r="E187" l="1"/>
  <c r="L216"/>
  <c r="N216"/>
  <c r="D217"/>
  <c r="E185"/>
  <c r="E28"/>
  <c r="L28" s="1"/>
  <c r="E30"/>
  <c r="L30" s="1"/>
  <c r="E32"/>
  <c r="E218"/>
  <c r="L218" s="1"/>
  <c r="E50"/>
  <c r="L50" s="1"/>
  <c r="E103"/>
  <c r="L103" s="1"/>
  <c r="E105"/>
  <c r="L105" s="1"/>
  <c r="E107"/>
  <c r="L107" s="1"/>
  <c r="D108"/>
  <c r="I134"/>
  <c r="E144"/>
  <c r="E146"/>
  <c r="L146" s="1"/>
  <c r="E177"/>
  <c r="E46"/>
  <c r="L46" s="1"/>
  <c r="E181"/>
  <c r="L181" s="1"/>
  <c r="E183"/>
  <c r="L183" s="1"/>
  <c r="N218"/>
  <c r="F219"/>
  <c r="E20"/>
  <c r="L20" s="1"/>
  <c r="E22"/>
  <c r="L22" s="1"/>
  <c r="E24"/>
  <c r="E26"/>
  <c r="L26" s="1"/>
  <c r="E89"/>
  <c r="L89" s="1"/>
  <c r="E91"/>
  <c r="L91" s="1"/>
  <c r="E93"/>
  <c r="E95"/>
  <c r="L95" s="1"/>
  <c r="E97"/>
  <c r="L97" s="1"/>
  <c r="E99"/>
  <c r="L99" s="1"/>
  <c r="E101"/>
  <c r="E142"/>
  <c r="L142" s="1"/>
  <c r="E220"/>
  <c r="L220" s="1"/>
  <c r="L18"/>
  <c r="E44"/>
  <c r="E48"/>
  <c r="E75"/>
  <c r="L75" s="1"/>
  <c r="E132"/>
  <c r="L132" s="1"/>
  <c r="J134"/>
  <c r="N134" s="1"/>
  <c r="E173"/>
  <c r="L173" s="1"/>
  <c r="E175"/>
  <c r="E179"/>
  <c r="L179" s="1"/>
  <c r="E214"/>
  <c r="L214" s="1"/>
  <c r="F215"/>
  <c r="F217"/>
  <c r="D219"/>
  <c r="D221"/>
  <c r="M136"/>
  <c r="M138"/>
  <c r="I18"/>
  <c r="I20"/>
  <c r="I22"/>
  <c r="I24"/>
  <c r="I26"/>
  <c r="I28"/>
  <c r="I30"/>
  <c r="I32"/>
  <c r="I34"/>
  <c r="I36"/>
  <c r="I38"/>
  <c r="I40"/>
  <c r="I42"/>
  <c r="L44"/>
  <c r="J44"/>
  <c r="N44" s="1"/>
  <c r="I46"/>
  <c r="L48"/>
  <c r="J48"/>
  <c r="N48" s="1"/>
  <c r="I50"/>
  <c r="I77"/>
  <c r="I79"/>
  <c r="I81"/>
  <c r="I83"/>
  <c r="I85"/>
  <c r="I87"/>
  <c r="I89"/>
  <c r="I91"/>
  <c r="I93"/>
  <c r="I95"/>
  <c r="I97"/>
  <c r="I99"/>
  <c r="I101"/>
  <c r="I103"/>
  <c r="I105"/>
  <c r="I107"/>
  <c r="M132"/>
  <c r="M134"/>
  <c r="I16"/>
  <c r="L24"/>
  <c r="L32"/>
  <c r="J34"/>
  <c r="N34" s="1"/>
  <c r="J36"/>
  <c r="N36" s="1"/>
  <c r="J38"/>
  <c r="N38" s="1"/>
  <c r="J40"/>
  <c r="N40" s="1"/>
  <c r="J42"/>
  <c r="N42" s="1"/>
  <c r="I44"/>
  <c r="J46"/>
  <c r="N46" s="1"/>
  <c r="I48"/>
  <c r="J50"/>
  <c r="N50" s="1"/>
  <c r="I75"/>
  <c r="J77"/>
  <c r="N77" s="1"/>
  <c r="J79"/>
  <c r="N79" s="1"/>
  <c r="J81"/>
  <c r="N81" s="1"/>
  <c r="J83"/>
  <c r="N83" s="1"/>
  <c r="J85"/>
  <c r="N85" s="1"/>
  <c r="L93"/>
  <c r="L101"/>
  <c r="N136"/>
  <c r="O136" s="1"/>
  <c r="P136" s="1"/>
  <c r="E140"/>
  <c r="L140" s="1"/>
  <c r="H139"/>
  <c r="J138" s="1"/>
  <c r="F139"/>
  <c r="M142"/>
  <c r="M144"/>
  <c r="M146"/>
  <c r="Q280"/>
  <c r="Q278"/>
  <c r="Q282" s="1"/>
  <c r="Q284" s="1"/>
  <c r="Q286" s="1"/>
  <c r="Q288" s="1"/>
  <c r="G247"/>
  <c r="B249"/>
  <c r="C247"/>
  <c r="E246"/>
  <c r="L246" s="1"/>
  <c r="D15"/>
  <c r="E16"/>
  <c r="L16" s="1"/>
  <c r="Q16"/>
  <c r="Q18" s="1"/>
  <c r="Q20" s="1"/>
  <c r="Q22" s="1"/>
  <c r="Q24" s="1"/>
  <c r="Q26" s="1"/>
  <c r="Q28" s="1"/>
  <c r="Q30" s="1"/>
  <c r="Q32" s="1"/>
  <c r="Q34" s="1"/>
  <c r="Q36" s="1"/>
  <c r="Q38" s="1"/>
  <c r="Q40" s="1"/>
  <c r="Q42" s="1"/>
  <c r="Q44" s="1"/>
  <c r="Q46" s="1"/>
  <c r="Q48" s="1"/>
  <c r="Q50" s="1"/>
  <c r="F17"/>
  <c r="H17"/>
  <c r="J16" s="1"/>
  <c r="N16" s="1"/>
  <c r="F19"/>
  <c r="H19"/>
  <c r="J18" s="1"/>
  <c r="N18" s="1"/>
  <c r="F21"/>
  <c r="H21"/>
  <c r="J20" s="1"/>
  <c r="N20" s="1"/>
  <c r="F23"/>
  <c r="H23"/>
  <c r="J22" s="1"/>
  <c r="N22" s="1"/>
  <c r="F25"/>
  <c r="H25"/>
  <c r="J24" s="1"/>
  <c r="N24" s="1"/>
  <c r="F27"/>
  <c r="H27"/>
  <c r="J26" s="1"/>
  <c r="N26" s="1"/>
  <c r="F29"/>
  <c r="H29"/>
  <c r="J28" s="1"/>
  <c r="N28" s="1"/>
  <c r="F31"/>
  <c r="H31"/>
  <c r="J30" s="1"/>
  <c r="N30" s="1"/>
  <c r="D33"/>
  <c r="E34"/>
  <c r="L34" s="1"/>
  <c r="D35"/>
  <c r="E36"/>
  <c r="L36" s="1"/>
  <c r="D37"/>
  <c r="E38"/>
  <c r="L38" s="1"/>
  <c r="D39"/>
  <c r="E40"/>
  <c r="L40" s="1"/>
  <c r="D41"/>
  <c r="E42"/>
  <c r="L42" s="1"/>
  <c r="D43"/>
  <c r="D45"/>
  <c r="D47"/>
  <c r="D49"/>
  <c r="D51"/>
  <c r="U64"/>
  <c r="U121" s="1"/>
  <c r="U65"/>
  <c r="U122" s="1"/>
  <c r="F74"/>
  <c r="H74"/>
  <c r="J75" s="1"/>
  <c r="N75" s="1"/>
  <c r="V75"/>
  <c r="V77" s="1"/>
  <c r="V79" s="1"/>
  <c r="V81" s="1"/>
  <c r="V83" s="1"/>
  <c r="V85" s="1"/>
  <c r="V87" s="1"/>
  <c r="V89" s="1"/>
  <c r="V91" s="1"/>
  <c r="V93" s="1"/>
  <c r="V95" s="1"/>
  <c r="V97" s="1"/>
  <c r="V99" s="1"/>
  <c r="V101" s="1"/>
  <c r="V103" s="1"/>
  <c r="V105" s="1"/>
  <c r="V107" s="1"/>
  <c r="D76"/>
  <c r="E77"/>
  <c r="L77" s="1"/>
  <c r="D78"/>
  <c r="E79"/>
  <c r="L79" s="1"/>
  <c r="D80"/>
  <c r="E81"/>
  <c r="L81" s="1"/>
  <c r="D82"/>
  <c r="E83"/>
  <c r="L83" s="1"/>
  <c r="D84"/>
  <c r="E85"/>
  <c r="L85" s="1"/>
  <c r="D86"/>
  <c r="E87"/>
  <c r="L87" s="1"/>
  <c r="F88"/>
  <c r="H88"/>
  <c r="J87" s="1"/>
  <c r="N87" s="1"/>
  <c r="F90"/>
  <c r="H90"/>
  <c r="J89" s="1"/>
  <c r="N89" s="1"/>
  <c r="F92"/>
  <c r="H92"/>
  <c r="J91" s="1"/>
  <c r="N91" s="1"/>
  <c r="F94"/>
  <c r="H94"/>
  <c r="J93" s="1"/>
  <c r="N93" s="1"/>
  <c r="F96"/>
  <c r="H96"/>
  <c r="J95" s="1"/>
  <c r="N95" s="1"/>
  <c r="F98"/>
  <c r="H98"/>
  <c r="J97" s="1"/>
  <c r="N97" s="1"/>
  <c r="F100"/>
  <c r="H100"/>
  <c r="J99" s="1"/>
  <c r="N99" s="1"/>
  <c r="F102"/>
  <c r="H102"/>
  <c r="J101" s="1"/>
  <c r="N101" s="1"/>
  <c r="F104"/>
  <c r="H104"/>
  <c r="J103" s="1"/>
  <c r="N103" s="1"/>
  <c r="F106"/>
  <c r="H106"/>
  <c r="J105" s="1"/>
  <c r="N105" s="1"/>
  <c r="F108"/>
  <c r="H108"/>
  <c r="J107" s="1"/>
  <c r="N107" s="1"/>
  <c r="F131"/>
  <c r="H131"/>
  <c r="J132" s="1"/>
  <c r="N132" s="1"/>
  <c r="D133"/>
  <c r="E134"/>
  <c r="L134" s="1"/>
  <c r="D135"/>
  <c r="E136"/>
  <c r="L136" s="1"/>
  <c r="D137"/>
  <c r="E138"/>
  <c r="L138" s="1"/>
  <c r="I171"/>
  <c r="I173"/>
  <c r="L175"/>
  <c r="J175"/>
  <c r="N175" s="1"/>
  <c r="I177"/>
  <c r="J179"/>
  <c r="N179" s="1"/>
  <c r="I181"/>
  <c r="I183"/>
  <c r="I185"/>
  <c r="I187"/>
  <c r="I189"/>
  <c r="N220"/>
  <c r="M140"/>
  <c r="V278"/>
  <c r="V282" s="1"/>
  <c r="V284" s="1"/>
  <c r="V286" s="1"/>
  <c r="V288" s="1"/>
  <c r="V280"/>
  <c r="F15"/>
  <c r="D17"/>
  <c r="D19"/>
  <c r="D21"/>
  <c r="D23"/>
  <c r="D25"/>
  <c r="D27"/>
  <c r="D29"/>
  <c r="D31"/>
  <c r="F33"/>
  <c r="F35"/>
  <c r="F37"/>
  <c r="F39"/>
  <c r="F41"/>
  <c r="F43"/>
  <c r="F45"/>
  <c r="F47"/>
  <c r="F49"/>
  <c r="F51"/>
  <c r="C65"/>
  <c r="C122" s="1"/>
  <c r="C161" s="1"/>
  <c r="D74"/>
  <c r="F76"/>
  <c r="F78"/>
  <c r="F80"/>
  <c r="F82"/>
  <c r="F84"/>
  <c r="F86"/>
  <c r="D88"/>
  <c r="D90"/>
  <c r="D92"/>
  <c r="D94"/>
  <c r="D96"/>
  <c r="D98"/>
  <c r="D100"/>
  <c r="D102"/>
  <c r="D104"/>
  <c r="D106"/>
  <c r="D131"/>
  <c r="F133"/>
  <c r="F135"/>
  <c r="F137"/>
  <c r="D139"/>
  <c r="L144"/>
  <c r="J171"/>
  <c r="N171" s="1"/>
  <c r="J173"/>
  <c r="N173" s="1"/>
  <c r="I175"/>
  <c r="L177"/>
  <c r="J177"/>
  <c r="N177" s="1"/>
  <c r="I179"/>
  <c r="L185"/>
  <c r="L187"/>
  <c r="J189"/>
  <c r="N189" s="1"/>
  <c r="AB309"/>
  <c r="AC309" s="1"/>
  <c r="Z309"/>
  <c r="AA309"/>
  <c r="F141"/>
  <c r="H141"/>
  <c r="F143"/>
  <c r="H143"/>
  <c r="F145"/>
  <c r="H145"/>
  <c r="J146" s="1"/>
  <c r="N146" s="1"/>
  <c r="F147"/>
  <c r="D170"/>
  <c r="E171"/>
  <c r="L171" s="1"/>
  <c r="F172"/>
  <c r="F174"/>
  <c r="F176"/>
  <c r="F178"/>
  <c r="F180"/>
  <c r="F182"/>
  <c r="H182"/>
  <c r="J181" s="1"/>
  <c r="N181" s="1"/>
  <c r="F184"/>
  <c r="H184"/>
  <c r="J183" s="1"/>
  <c r="N183" s="1"/>
  <c r="F186"/>
  <c r="H186"/>
  <c r="J185" s="1"/>
  <c r="N185" s="1"/>
  <c r="D188"/>
  <c r="E189"/>
  <c r="L189" s="1"/>
  <c r="D190"/>
  <c r="F213"/>
  <c r="F221"/>
  <c r="D245"/>
  <c r="G245"/>
  <c r="AA310"/>
  <c r="AB310"/>
  <c r="AC310" s="1"/>
  <c r="Z310"/>
  <c r="D141"/>
  <c r="D143"/>
  <c r="D145"/>
  <c r="D147"/>
  <c r="F170"/>
  <c r="D172"/>
  <c r="D174"/>
  <c r="D176"/>
  <c r="D178"/>
  <c r="D180"/>
  <c r="D182"/>
  <c r="D184"/>
  <c r="D186"/>
  <c r="F188"/>
  <c r="F190"/>
  <c r="D213"/>
  <c r="M214"/>
  <c r="O214" s="1"/>
  <c r="P214" s="1"/>
  <c r="R214" s="1"/>
  <c r="S214" s="1"/>
  <c r="T214" s="1"/>
  <c r="U214" s="1"/>
  <c r="W214" s="1"/>
  <c r="M216"/>
  <c r="O216" s="1"/>
  <c r="P216" s="1"/>
  <c r="R216" s="1"/>
  <c r="S216" s="1"/>
  <c r="T216" s="1"/>
  <c r="U216" s="1"/>
  <c r="W216" s="1"/>
  <c r="M218"/>
  <c r="O218" s="1"/>
  <c r="P218" s="1"/>
  <c r="R218" s="1"/>
  <c r="S218" s="1"/>
  <c r="T218" s="1"/>
  <c r="U218" s="1"/>
  <c r="W218" s="1"/>
  <c r="M220"/>
  <c r="F245"/>
  <c r="H305"/>
  <c r="B305"/>
  <c r="O132" l="1"/>
  <c r="P132" s="1"/>
  <c r="R132" s="1"/>
  <c r="S132" s="1"/>
  <c r="T132" s="1"/>
  <c r="U132" s="1"/>
  <c r="W132" s="1"/>
  <c r="O134"/>
  <c r="P134" s="1"/>
  <c r="O146"/>
  <c r="P146" s="1"/>
  <c r="R146" s="1"/>
  <c r="S146" s="1"/>
  <c r="T146" s="1"/>
  <c r="U146" s="1"/>
  <c r="W146" s="1"/>
  <c r="N138"/>
  <c r="O138" s="1"/>
  <c r="P138" s="1"/>
  <c r="G305"/>
  <c r="M179"/>
  <c r="M189"/>
  <c r="M185"/>
  <c r="M181"/>
  <c r="O181" s="1"/>
  <c r="P181" s="1"/>
  <c r="M173"/>
  <c r="U161"/>
  <c r="V171" s="1"/>
  <c r="V173" s="1"/>
  <c r="V175" s="1"/>
  <c r="V177" s="1"/>
  <c r="V179" s="1"/>
  <c r="V181" s="1"/>
  <c r="V183" s="1"/>
  <c r="V185" s="1"/>
  <c r="V187" s="1"/>
  <c r="V189" s="1"/>
  <c r="V132"/>
  <c r="V134" s="1"/>
  <c r="V136" s="1"/>
  <c r="V138" s="1"/>
  <c r="V140" s="1"/>
  <c r="V142" s="1"/>
  <c r="V144" s="1"/>
  <c r="V146" s="1"/>
  <c r="D247"/>
  <c r="H247"/>
  <c r="J246" s="1"/>
  <c r="N246" s="1"/>
  <c r="F247"/>
  <c r="M48"/>
  <c r="M105"/>
  <c r="M101"/>
  <c r="M97"/>
  <c r="M93"/>
  <c r="M89"/>
  <c r="M85"/>
  <c r="M81"/>
  <c r="O81" s="1"/>
  <c r="P81" s="1"/>
  <c r="R81" s="1"/>
  <c r="S81" s="1"/>
  <c r="T81" s="1"/>
  <c r="U81" s="1"/>
  <c r="W81" s="1"/>
  <c r="M77"/>
  <c r="M50"/>
  <c r="O50" s="1"/>
  <c r="P50" s="1"/>
  <c r="R50" s="1"/>
  <c r="S50" s="1"/>
  <c r="T50" s="1"/>
  <c r="U50" s="1"/>
  <c r="W50" s="1"/>
  <c r="M42"/>
  <c r="M38"/>
  <c r="O38" s="1"/>
  <c r="P38" s="1"/>
  <c r="R38" s="1"/>
  <c r="S38" s="1"/>
  <c r="T38" s="1"/>
  <c r="U38" s="1"/>
  <c r="W38" s="1"/>
  <c r="M34"/>
  <c r="M30"/>
  <c r="O30" s="1"/>
  <c r="P30" s="1"/>
  <c r="R30" s="1"/>
  <c r="S30" s="1"/>
  <c r="T30" s="1"/>
  <c r="U30" s="1"/>
  <c r="W30" s="1"/>
  <c r="M26"/>
  <c r="M22"/>
  <c r="O22" s="1"/>
  <c r="P22" s="1"/>
  <c r="R22" s="1"/>
  <c r="S22" s="1"/>
  <c r="T22" s="1"/>
  <c r="U22" s="1"/>
  <c r="W22" s="1"/>
  <c r="M18"/>
  <c r="O189"/>
  <c r="P189" s="1"/>
  <c r="O173"/>
  <c r="P173" s="1"/>
  <c r="O105"/>
  <c r="P105" s="1"/>
  <c r="R105" s="1"/>
  <c r="S105" s="1"/>
  <c r="T105" s="1"/>
  <c r="U105" s="1"/>
  <c r="W105" s="1"/>
  <c r="O101"/>
  <c r="P101" s="1"/>
  <c r="R101" s="1"/>
  <c r="S101" s="1"/>
  <c r="T101" s="1"/>
  <c r="U101" s="1"/>
  <c r="W101" s="1"/>
  <c r="O97"/>
  <c r="P97" s="1"/>
  <c r="R97" s="1"/>
  <c r="S97" s="1"/>
  <c r="T97" s="1"/>
  <c r="U97" s="1"/>
  <c r="W97" s="1"/>
  <c r="O93"/>
  <c r="P93" s="1"/>
  <c r="R93" s="1"/>
  <c r="S93" s="1"/>
  <c r="T93" s="1"/>
  <c r="U93" s="1"/>
  <c r="W93" s="1"/>
  <c r="O89"/>
  <c r="P89" s="1"/>
  <c r="R89" s="1"/>
  <c r="S89" s="1"/>
  <c r="T89" s="1"/>
  <c r="U89" s="1"/>
  <c r="W89" s="1"/>
  <c r="O26"/>
  <c r="P26" s="1"/>
  <c r="R26" s="1"/>
  <c r="S26" s="1"/>
  <c r="T26" s="1"/>
  <c r="U26" s="1"/>
  <c r="W26" s="1"/>
  <c r="O18"/>
  <c r="P18" s="1"/>
  <c r="R18" s="1"/>
  <c r="S18" s="1"/>
  <c r="T18" s="1"/>
  <c r="U18" s="1"/>
  <c r="W18" s="1"/>
  <c r="I246"/>
  <c r="O85"/>
  <c r="P85" s="1"/>
  <c r="R85" s="1"/>
  <c r="S85" s="1"/>
  <c r="T85" s="1"/>
  <c r="U85" s="1"/>
  <c r="W85" s="1"/>
  <c r="O77"/>
  <c r="P77" s="1"/>
  <c r="R77" s="1"/>
  <c r="S77" s="1"/>
  <c r="T77" s="1"/>
  <c r="U77" s="1"/>
  <c r="W77" s="1"/>
  <c r="O42"/>
  <c r="P42" s="1"/>
  <c r="R42" s="1"/>
  <c r="S42" s="1"/>
  <c r="T42" s="1"/>
  <c r="U42" s="1"/>
  <c r="W42" s="1"/>
  <c r="O34"/>
  <c r="P34" s="1"/>
  <c r="R34" s="1"/>
  <c r="S34" s="1"/>
  <c r="T34" s="1"/>
  <c r="U34" s="1"/>
  <c r="W34" s="1"/>
  <c r="M175"/>
  <c r="O175" s="1"/>
  <c r="P175" s="1"/>
  <c r="V290"/>
  <c r="V294" s="1"/>
  <c r="V292"/>
  <c r="M187"/>
  <c r="M183"/>
  <c r="M177"/>
  <c r="M171"/>
  <c r="O171" s="1"/>
  <c r="P171" s="1"/>
  <c r="R171" s="1"/>
  <c r="S171" s="1"/>
  <c r="T171" s="1"/>
  <c r="U171" s="1"/>
  <c r="W171" s="1"/>
  <c r="U160"/>
  <c r="Q171" s="1"/>
  <c r="Q173" s="1"/>
  <c r="Q175" s="1"/>
  <c r="Q177" s="1"/>
  <c r="Q179" s="1"/>
  <c r="Q181" s="1"/>
  <c r="Q183" s="1"/>
  <c r="Q185" s="1"/>
  <c r="Q187" s="1"/>
  <c r="Q189" s="1"/>
  <c r="Q132"/>
  <c r="Q134" s="1"/>
  <c r="Q136" s="1"/>
  <c r="Q138" s="1"/>
  <c r="Q140" s="1"/>
  <c r="Q142" s="1"/>
  <c r="Q144" s="1"/>
  <c r="Q146" s="1"/>
  <c r="B251"/>
  <c r="C249"/>
  <c r="E248"/>
  <c r="L248" s="1"/>
  <c r="G249"/>
  <c r="I248" s="1"/>
  <c r="Q292"/>
  <c r="Q290"/>
  <c r="Q294" s="1"/>
  <c r="M75"/>
  <c r="O75" s="1"/>
  <c r="P75" s="1"/>
  <c r="R75" s="1"/>
  <c r="S75" s="1"/>
  <c r="T75" s="1"/>
  <c r="U75" s="1"/>
  <c r="W75" s="1"/>
  <c r="M44"/>
  <c r="O44" s="1"/>
  <c r="P44" s="1"/>
  <c r="R44" s="1"/>
  <c r="S44" s="1"/>
  <c r="T44" s="1"/>
  <c r="U44" s="1"/>
  <c r="W44" s="1"/>
  <c r="M16"/>
  <c r="O16" s="1"/>
  <c r="P16" s="1"/>
  <c r="R16" s="1"/>
  <c r="S16" s="1"/>
  <c r="T16" s="1"/>
  <c r="U16" s="1"/>
  <c r="W16" s="1"/>
  <c r="M107"/>
  <c r="O107" s="1"/>
  <c r="P107" s="1"/>
  <c r="R107" s="1"/>
  <c r="S107" s="1"/>
  <c r="T107" s="1"/>
  <c r="U107" s="1"/>
  <c r="W107" s="1"/>
  <c r="M103"/>
  <c r="O103" s="1"/>
  <c r="P103" s="1"/>
  <c r="R103" s="1"/>
  <c r="S103" s="1"/>
  <c r="T103" s="1"/>
  <c r="U103" s="1"/>
  <c r="W103" s="1"/>
  <c r="M99"/>
  <c r="O99" s="1"/>
  <c r="P99" s="1"/>
  <c r="R99" s="1"/>
  <c r="S99" s="1"/>
  <c r="T99" s="1"/>
  <c r="U99" s="1"/>
  <c r="W99" s="1"/>
  <c r="M95"/>
  <c r="O95" s="1"/>
  <c r="P95" s="1"/>
  <c r="R95" s="1"/>
  <c r="S95" s="1"/>
  <c r="T95" s="1"/>
  <c r="U95" s="1"/>
  <c r="W95" s="1"/>
  <c r="M91"/>
  <c r="O91" s="1"/>
  <c r="P91" s="1"/>
  <c r="R91" s="1"/>
  <c r="S91" s="1"/>
  <c r="T91" s="1"/>
  <c r="U91" s="1"/>
  <c r="W91" s="1"/>
  <c r="M87"/>
  <c r="O87" s="1"/>
  <c r="P87" s="1"/>
  <c r="R87" s="1"/>
  <c r="S87" s="1"/>
  <c r="T87" s="1"/>
  <c r="U87" s="1"/>
  <c r="M83"/>
  <c r="O83" s="1"/>
  <c r="P83" s="1"/>
  <c r="R83" s="1"/>
  <c r="S83" s="1"/>
  <c r="T83" s="1"/>
  <c r="U83" s="1"/>
  <c r="W83" s="1"/>
  <c r="M79"/>
  <c r="M46"/>
  <c r="O46" s="1"/>
  <c r="P46" s="1"/>
  <c r="R46" s="1"/>
  <c r="S46" s="1"/>
  <c r="T46" s="1"/>
  <c r="U46" s="1"/>
  <c r="W46" s="1"/>
  <c r="M40"/>
  <c r="M36"/>
  <c r="O36" s="1"/>
  <c r="P36" s="1"/>
  <c r="R36" s="1"/>
  <c r="S36" s="1"/>
  <c r="T36" s="1"/>
  <c r="U36" s="1"/>
  <c r="W36" s="1"/>
  <c r="M32"/>
  <c r="M28"/>
  <c r="O28" s="1"/>
  <c r="P28" s="1"/>
  <c r="R28" s="1"/>
  <c r="S28" s="1"/>
  <c r="T28" s="1"/>
  <c r="U28" s="1"/>
  <c r="W28" s="1"/>
  <c r="M24"/>
  <c r="O24" s="1"/>
  <c r="P24" s="1"/>
  <c r="R24" s="1"/>
  <c r="S24" s="1"/>
  <c r="T24" s="1"/>
  <c r="U24" s="1"/>
  <c r="W24" s="1"/>
  <c r="M20"/>
  <c r="O20" s="1"/>
  <c r="P20" s="1"/>
  <c r="R20" s="1"/>
  <c r="S20" s="1"/>
  <c r="T20" s="1"/>
  <c r="U20" s="1"/>
  <c r="W20" s="1"/>
  <c r="F305"/>
  <c r="F191"/>
  <c r="D305"/>
  <c r="F222"/>
  <c r="O185"/>
  <c r="P185" s="1"/>
  <c r="R185" s="1"/>
  <c r="S185" s="1"/>
  <c r="T185" s="1"/>
  <c r="U185" s="1"/>
  <c r="O183"/>
  <c r="P183" s="1"/>
  <c r="R183" s="1"/>
  <c r="S183" s="1"/>
  <c r="T183" s="1"/>
  <c r="U183" s="1"/>
  <c r="W183" s="1"/>
  <c r="J144"/>
  <c r="J142"/>
  <c r="J187"/>
  <c r="N187" s="1"/>
  <c r="O187" s="1"/>
  <c r="O177"/>
  <c r="P177" s="1"/>
  <c r="R177" s="1"/>
  <c r="S177" s="1"/>
  <c r="T177" s="1"/>
  <c r="U177" s="1"/>
  <c r="F52"/>
  <c r="O220"/>
  <c r="P220" s="1"/>
  <c r="R220" s="1"/>
  <c r="S220" s="1"/>
  <c r="T220" s="1"/>
  <c r="U220" s="1"/>
  <c r="O179"/>
  <c r="P179" s="1"/>
  <c r="R179" s="1"/>
  <c r="S179" s="1"/>
  <c r="T179" s="1"/>
  <c r="U179" s="1"/>
  <c r="F148"/>
  <c r="F109"/>
  <c r="J140"/>
  <c r="O79"/>
  <c r="P79" s="1"/>
  <c r="R79" s="1"/>
  <c r="S79" s="1"/>
  <c r="T79" s="1"/>
  <c r="U79" s="1"/>
  <c r="W79" s="1"/>
  <c r="O40"/>
  <c r="P40" s="1"/>
  <c r="R40" s="1"/>
  <c r="S40" s="1"/>
  <c r="T40" s="1"/>
  <c r="U40" s="1"/>
  <c r="W40" s="1"/>
  <c r="J32"/>
  <c r="N32" s="1"/>
  <c r="O32" s="1"/>
  <c r="O48"/>
  <c r="P48" s="1"/>
  <c r="R48" s="1"/>
  <c r="S48" s="1"/>
  <c r="T48" s="1"/>
  <c r="U48" s="1"/>
  <c r="W48" s="1"/>
  <c r="R181" l="1"/>
  <c r="S181" s="1"/>
  <c r="T181" s="1"/>
  <c r="U181" s="1"/>
  <c r="W181" s="1"/>
  <c r="W179"/>
  <c r="W177"/>
  <c r="W185"/>
  <c r="R189"/>
  <c r="S189" s="1"/>
  <c r="T189" s="1"/>
  <c r="U189" s="1"/>
  <c r="W189" s="1"/>
  <c r="R175"/>
  <c r="S175" s="1"/>
  <c r="T175" s="1"/>
  <c r="U175" s="1"/>
  <c r="W175" s="1"/>
  <c r="R173"/>
  <c r="S173" s="1"/>
  <c r="T173" s="1"/>
  <c r="U173" s="1"/>
  <c r="W173" s="1"/>
  <c r="W87"/>
  <c r="U110"/>
  <c r="N140"/>
  <c r="O140" s="1"/>
  <c r="P140" s="1"/>
  <c r="R140" s="1"/>
  <c r="S140" s="1"/>
  <c r="T140" s="1"/>
  <c r="U140" s="1"/>
  <c r="W140" s="1"/>
  <c r="N142"/>
  <c r="O142" s="1"/>
  <c r="P142" s="1"/>
  <c r="R142" s="1"/>
  <c r="S142" s="1"/>
  <c r="T142" s="1"/>
  <c r="U142" s="1"/>
  <c r="W142" s="1"/>
  <c r="G251"/>
  <c r="I250" s="1"/>
  <c r="B253"/>
  <c r="C251"/>
  <c r="E250"/>
  <c r="L250" s="1"/>
  <c r="V298"/>
  <c r="V302" s="1"/>
  <c r="V296"/>
  <c r="V300" s="1"/>
  <c r="V304" s="1"/>
  <c r="P32"/>
  <c r="R32" s="1"/>
  <c r="P187"/>
  <c r="R187" s="1"/>
  <c r="R136"/>
  <c r="S136" s="1"/>
  <c r="T136" s="1"/>
  <c r="U136" s="1"/>
  <c r="W136" s="1"/>
  <c r="R138"/>
  <c r="S138" s="1"/>
  <c r="T138" s="1"/>
  <c r="U138" s="1"/>
  <c r="W220"/>
  <c r="U223"/>
  <c r="N144"/>
  <c r="O144" s="1"/>
  <c r="P144" s="1"/>
  <c r="R144" s="1"/>
  <c r="S144" s="1"/>
  <c r="T144" s="1"/>
  <c r="U144" s="1"/>
  <c r="W144" s="1"/>
  <c r="Q296"/>
  <c r="Q300" s="1"/>
  <c r="Q304" s="1"/>
  <c r="Q298"/>
  <c r="Q302" s="1"/>
  <c r="M248"/>
  <c r="H249"/>
  <c r="J248" s="1"/>
  <c r="N248" s="1"/>
  <c r="F249"/>
  <c r="D249"/>
  <c r="M246"/>
  <c r="O246" s="1"/>
  <c r="P246" s="1"/>
  <c r="R246" s="1"/>
  <c r="S246" s="1"/>
  <c r="T246" s="1"/>
  <c r="U246" s="1"/>
  <c r="W246" s="1"/>
  <c r="S32"/>
  <c r="T32" s="1"/>
  <c r="U32" s="1"/>
  <c r="S187"/>
  <c r="T187" s="1"/>
  <c r="U187" s="1"/>
  <c r="R134"/>
  <c r="S134" s="1"/>
  <c r="T134" s="1"/>
  <c r="U134" s="1"/>
  <c r="W134" s="1"/>
  <c r="O248" l="1"/>
  <c r="P248" s="1"/>
  <c r="R248" s="1"/>
  <c r="S248" s="1"/>
  <c r="T248" s="1"/>
  <c r="U248" s="1"/>
  <c r="W248" s="1"/>
  <c r="U192"/>
  <c r="W187"/>
  <c r="U149"/>
  <c r="W138"/>
  <c r="B257"/>
  <c r="C253"/>
  <c r="E252"/>
  <c r="L252" s="1"/>
  <c r="G253"/>
  <c r="I252" s="1"/>
  <c r="U53"/>
  <c r="W32"/>
  <c r="U224"/>
  <c r="U227" s="1"/>
  <c r="U228" s="1"/>
  <c r="X220"/>
  <c r="D251"/>
  <c r="H251"/>
  <c r="J250" s="1"/>
  <c r="N250" s="1"/>
  <c r="F251"/>
  <c r="M250"/>
  <c r="U111"/>
  <c r="U114" s="1"/>
  <c r="U115" s="1"/>
  <c r="X87"/>
  <c r="X32" l="1"/>
  <c r="U54"/>
  <c r="U57" s="1"/>
  <c r="U58" s="1"/>
  <c r="M252"/>
  <c r="H253"/>
  <c r="J252" s="1"/>
  <c r="N252" s="1"/>
  <c r="F253"/>
  <c r="D253"/>
  <c r="U150"/>
  <c r="U153" s="1"/>
  <c r="U154" s="1"/>
  <c r="X138"/>
  <c r="X187"/>
  <c r="U193"/>
  <c r="U196" s="1"/>
  <c r="U197" s="1"/>
  <c r="G257"/>
  <c r="I256" s="1"/>
  <c r="B259"/>
  <c r="C257"/>
  <c r="E256"/>
  <c r="L256" s="1"/>
  <c r="O250"/>
  <c r="P250" s="1"/>
  <c r="R250" s="1"/>
  <c r="S250" s="1"/>
  <c r="T250" s="1"/>
  <c r="U250" s="1"/>
  <c r="W250" s="1"/>
  <c r="O252" l="1"/>
  <c r="P252" s="1"/>
  <c r="R252" s="1"/>
  <c r="S252" s="1"/>
  <c r="T252" s="1"/>
  <c r="U252" s="1"/>
  <c r="W252" s="1"/>
  <c r="B261"/>
  <c r="C259"/>
  <c r="E258"/>
  <c r="L258" s="1"/>
  <c r="G259"/>
  <c r="I258" s="1"/>
  <c r="D257"/>
  <c r="H257"/>
  <c r="J256" s="1"/>
  <c r="N256" s="1"/>
  <c r="F257"/>
  <c r="M256"/>
  <c r="M258" l="1"/>
  <c r="H259"/>
  <c r="J258" s="1"/>
  <c r="N258" s="1"/>
  <c r="F259"/>
  <c r="D259"/>
  <c r="B263"/>
  <c r="C261"/>
  <c r="G261"/>
  <c r="I260" s="1"/>
  <c r="E260"/>
  <c r="L260" s="1"/>
  <c r="O256"/>
  <c r="P256" s="1"/>
  <c r="R256" s="1"/>
  <c r="S256" s="1"/>
  <c r="T256" s="1"/>
  <c r="U256" s="1"/>
  <c r="W256" s="1"/>
  <c r="O258" l="1"/>
  <c r="P258" s="1"/>
  <c r="R258" s="1"/>
  <c r="S258" s="1"/>
  <c r="T258" s="1"/>
  <c r="U258" s="1"/>
  <c r="W258" s="1"/>
  <c r="H261"/>
  <c r="J260" s="1"/>
  <c r="N260" s="1"/>
  <c r="F261"/>
  <c r="D261"/>
  <c r="M260"/>
  <c r="G263"/>
  <c r="I262" s="1"/>
  <c r="B265"/>
  <c r="C263"/>
  <c r="E262"/>
  <c r="L262" s="1"/>
  <c r="B267" l="1"/>
  <c r="C265"/>
  <c r="E264"/>
  <c r="L264" s="1"/>
  <c r="G265"/>
  <c r="I264" s="1"/>
  <c r="D263"/>
  <c r="H263"/>
  <c r="J262" s="1"/>
  <c r="N262" s="1"/>
  <c r="F263"/>
  <c r="M262"/>
  <c r="O260"/>
  <c r="P260" s="1"/>
  <c r="R260" s="1"/>
  <c r="S260" s="1"/>
  <c r="T260" s="1"/>
  <c r="U260" s="1"/>
  <c r="W260" s="1"/>
  <c r="M264" l="1"/>
  <c r="H265"/>
  <c r="J264" s="1"/>
  <c r="N264" s="1"/>
  <c r="F265"/>
  <c r="D265"/>
  <c r="G267"/>
  <c r="I266" s="1"/>
  <c r="B269"/>
  <c r="C267"/>
  <c r="E266"/>
  <c r="L266" s="1"/>
  <c r="O262"/>
  <c r="P262" s="1"/>
  <c r="R262" s="1"/>
  <c r="S262" s="1"/>
  <c r="T262" s="1"/>
  <c r="U262" s="1"/>
  <c r="W262" s="1"/>
  <c r="O264" l="1"/>
  <c r="P264" s="1"/>
  <c r="R264" s="1"/>
  <c r="S264" s="1"/>
  <c r="T264" s="1"/>
  <c r="U264" s="1"/>
  <c r="W264" s="1"/>
  <c r="B271"/>
  <c r="C269"/>
  <c r="E268"/>
  <c r="L268" s="1"/>
  <c r="G269"/>
  <c r="I268" s="1"/>
  <c r="D267"/>
  <c r="H267"/>
  <c r="J266" s="1"/>
  <c r="N266" s="1"/>
  <c r="F267"/>
  <c r="M266"/>
  <c r="M268" l="1"/>
  <c r="H269"/>
  <c r="J268" s="1"/>
  <c r="N268" s="1"/>
  <c r="F269"/>
  <c r="D269"/>
  <c r="G271"/>
  <c r="I270" s="1"/>
  <c r="B273"/>
  <c r="C271"/>
  <c r="E270"/>
  <c r="L270" s="1"/>
  <c r="O266"/>
  <c r="P266" s="1"/>
  <c r="R266" s="1"/>
  <c r="S266" s="1"/>
  <c r="T266" s="1"/>
  <c r="U266" s="1"/>
  <c r="W266" s="1"/>
  <c r="O268" l="1"/>
  <c r="P268" s="1"/>
  <c r="R268" s="1"/>
  <c r="S268" s="1"/>
  <c r="T268" s="1"/>
  <c r="U268" s="1"/>
  <c r="W268" s="1"/>
  <c r="B275"/>
  <c r="C273"/>
  <c r="E272"/>
  <c r="L272" s="1"/>
  <c r="G273"/>
  <c r="I272" s="1"/>
  <c r="D271"/>
  <c r="H271"/>
  <c r="J270" s="1"/>
  <c r="N270" s="1"/>
  <c r="F271"/>
  <c r="M270"/>
  <c r="M272" l="1"/>
  <c r="H273"/>
  <c r="J272" s="1"/>
  <c r="N272" s="1"/>
  <c r="F273"/>
  <c r="D273"/>
  <c r="G275"/>
  <c r="I274" s="1"/>
  <c r="B277"/>
  <c r="C275"/>
  <c r="E274"/>
  <c r="L274" s="1"/>
  <c r="O270"/>
  <c r="P270" s="1"/>
  <c r="R270" s="1"/>
  <c r="S270" s="1"/>
  <c r="T270" s="1"/>
  <c r="U270" s="1"/>
  <c r="W270" s="1"/>
  <c r="O272" l="1"/>
  <c r="P272" s="1"/>
  <c r="R272" s="1"/>
  <c r="S272" s="1"/>
  <c r="T272" s="1"/>
  <c r="U272" s="1"/>
  <c r="W272" s="1"/>
  <c r="B279"/>
  <c r="C277"/>
  <c r="E276"/>
  <c r="L276" s="1"/>
  <c r="G277"/>
  <c r="I276" s="1"/>
  <c r="D275"/>
  <c r="H275"/>
  <c r="J274" s="1"/>
  <c r="N274" s="1"/>
  <c r="F275"/>
  <c r="M274"/>
  <c r="M276" l="1"/>
  <c r="H277"/>
  <c r="J276" s="1"/>
  <c r="N276" s="1"/>
  <c r="F277"/>
  <c r="D277"/>
  <c r="G279"/>
  <c r="I278" s="1"/>
  <c r="B281"/>
  <c r="C279"/>
  <c r="E278"/>
  <c r="L278" s="1"/>
  <c r="O274"/>
  <c r="P274" s="1"/>
  <c r="R274" s="1"/>
  <c r="S274" s="1"/>
  <c r="T274" s="1"/>
  <c r="U274" s="1"/>
  <c r="W274" s="1"/>
  <c r="O276" l="1"/>
  <c r="P276" s="1"/>
  <c r="R276" s="1"/>
  <c r="S276" s="1"/>
  <c r="T276" s="1"/>
  <c r="U276" s="1"/>
  <c r="W276" s="1"/>
  <c r="B283"/>
  <c r="C281"/>
  <c r="E280"/>
  <c r="L280" s="1"/>
  <c r="G281"/>
  <c r="I280" s="1"/>
  <c r="D279"/>
  <c r="H279"/>
  <c r="J278" s="1"/>
  <c r="N278" s="1"/>
  <c r="F279"/>
  <c r="M278"/>
  <c r="M280" l="1"/>
  <c r="H281"/>
  <c r="J280" s="1"/>
  <c r="N280" s="1"/>
  <c r="F281"/>
  <c r="D281"/>
  <c r="G283"/>
  <c r="I282" s="1"/>
  <c r="B285"/>
  <c r="C283"/>
  <c r="E282"/>
  <c r="L282" s="1"/>
  <c r="O278"/>
  <c r="P278" s="1"/>
  <c r="R278" s="1"/>
  <c r="S278" s="1"/>
  <c r="T278" s="1"/>
  <c r="U278" s="1"/>
  <c r="W278" s="1"/>
  <c r="O280" l="1"/>
  <c r="P280" s="1"/>
  <c r="R280" s="1"/>
  <c r="S280" s="1"/>
  <c r="T280" s="1"/>
  <c r="U280" s="1"/>
  <c r="B287"/>
  <c r="C285"/>
  <c r="E284"/>
  <c r="L284" s="1"/>
  <c r="G285"/>
  <c r="I284" s="1"/>
  <c r="D283"/>
  <c r="H283"/>
  <c r="J282" s="1"/>
  <c r="N282" s="1"/>
  <c r="F283"/>
  <c r="M282"/>
  <c r="Z307" l="1"/>
  <c r="W280"/>
  <c r="Z308" s="1"/>
  <c r="Z311" s="1"/>
  <c r="Z312" s="1"/>
  <c r="M284"/>
  <c r="H285"/>
  <c r="J284" s="1"/>
  <c r="N284" s="1"/>
  <c r="F285"/>
  <c r="D285"/>
  <c r="G287"/>
  <c r="I286" s="1"/>
  <c r="B289"/>
  <c r="C287"/>
  <c r="E286"/>
  <c r="L286" s="1"/>
  <c r="O282"/>
  <c r="P282" s="1"/>
  <c r="R282" s="1"/>
  <c r="S282" s="1"/>
  <c r="T282" s="1"/>
  <c r="U282" s="1"/>
  <c r="W282" s="1"/>
  <c r="O284" l="1"/>
  <c r="P284" s="1"/>
  <c r="R284" s="1"/>
  <c r="S284" s="1"/>
  <c r="T284" s="1"/>
  <c r="U284" s="1"/>
  <c r="W284" s="1"/>
  <c r="B291"/>
  <c r="C289"/>
  <c r="E288"/>
  <c r="L288" s="1"/>
  <c r="G289"/>
  <c r="I288" s="1"/>
  <c r="D287"/>
  <c r="H287"/>
  <c r="J286" s="1"/>
  <c r="N286" s="1"/>
  <c r="F287"/>
  <c r="M286"/>
  <c r="M288" l="1"/>
  <c r="H289"/>
  <c r="J288" s="1"/>
  <c r="N288" s="1"/>
  <c r="F289"/>
  <c r="D289"/>
  <c r="G291"/>
  <c r="I290" s="1"/>
  <c r="B293"/>
  <c r="C291"/>
  <c r="E290"/>
  <c r="L290" s="1"/>
  <c r="O286"/>
  <c r="P286" s="1"/>
  <c r="R286" s="1"/>
  <c r="S286" s="1"/>
  <c r="T286" s="1"/>
  <c r="U286" s="1"/>
  <c r="O288" l="1"/>
  <c r="P288" s="1"/>
  <c r="R288" s="1"/>
  <c r="S288" s="1"/>
  <c r="T288" s="1"/>
  <c r="U288" s="1"/>
  <c r="AB307"/>
  <c r="W286"/>
  <c r="AB308" s="1"/>
  <c r="AB311" s="1"/>
  <c r="AB312" s="1"/>
  <c r="B295"/>
  <c r="C293"/>
  <c r="E292"/>
  <c r="L292" s="1"/>
  <c r="G293"/>
  <c r="I292" s="1"/>
  <c r="D291"/>
  <c r="H291"/>
  <c r="J290" s="1"/>
  <c r="N290" s="1"/>
  <c r="F291"/>
  <c r="M290"/>
  <c r="W288" l="1"/>
  <c r="AA308" s="1"/>
  <c r="AA311" s="1"/>
  <c r="AA312" s="1"/>
  <c r="AA307"/>
  <c r="M292"/>
  <c r="H293"/>
  <c r="J292" s="1"/>
  <c r="N292" s="1"/>
  <c r="F293"/>
  <c r="D293"/>
  <c r="G295"/>
  <c r="I294" s="1"/>
  <c r="B297"/>
  <c r="C295"/>
  <c r="E294"/>
  <c r="L294" s="1"/>
  <c r="O290"/>
  <c r="P290" s="1"/>
  <c r="R290" s="1"/>
  <c r="S290" s="1"/>
  <c r="T290" s="1"/>
  <c r="U290" s="1"/>
  <c r="O292" l="1"/>
  <c r="P292" s="1"/>
  <c r="R292" s="1"/>
  <c r="S292" s="1"/>
  <c r="T292" s="1"/>
  <c r="U292" s="1"/>
  <c r="W292" s="1"/>
  <c r="AC307"/>
  <c r="W290"/>
  <c r="AC308" s="1"/>
  <c r="AC311" s="1"/>
  <c r="AC312" s="1"/>
  <c r="B299"/>
  <c r="C297"/>
  <c r="E296"/>
  <c r="L296" s="1"/>
  <c r="G297"/>
  <c r="I296" s="1"/>
  <c r="D295"/>
  <c r="H295"/>
  <c r="J294" s="1"/>
  <c r="N294" s="1"/>
  <c r="F295"/>
  <c r="M294"/>
  <c r="M296" l="1"/>
  <c r="H297"/>
  <c r="J296" s="1"/>
  <c r="N296" s="1"/>
  <c r="F297"/>
  <c r="D297"/>
  <c r="G299"/>
  <c r="I298" s="1"/>
  <c r="B301"/>
  <c r="C299"/>
  <c r="E298"/>
  <c r="L298" s="1"/>
  <c r="O294"/>
  <c r="P294" s="1"/>
  <c r="R294" s="1"/>
  <c r="S294" s="1"/>
  <c r="T294" s="1"/>
  <c r="U294" s="1"/>
  <c r="W294" s="1"/>
  <c r="O296" l="1"/>
  <c r="P296" s="1"/>
  <c r="R296" s="1"/>
  <c r="S296" s="1"/>
  <c r="T296" s="1"/>
  <c r="U296" s="1"/>
  <c r="W296" s="1"/>
  <c r="C301"/>
  <c r="E300"/>
  <c r="L300" s="1"/>
  <c r="B303"/>
  <c r="G301"/>
  <c r="I300" s="1"/>
  <c r="D299"/>
  <c r="H299"/>
  <c r="J298" s="1"/>
  <c r="N298" s="1"/>
  <c r="F299"/>
  <c r="M298"/>
  <c r="M300" l="1"/>
  <c r="C303"/>
  <c r="G303"/>
  <c r="E302"/>
  <c r="L302" s="1"/>
  <c r="E304"/>
  <c r="L304" s="1"/>
  <c r="H301"/>
  <c r="J300" s="1"/>
  <c r="N300" s="1"/>
  <c r="F301"/>
  <c r="D301"/>
  <c r="O298"/>
  <c r="P298" s="1"/>
  <c r="R298" s="1"/>
  <c r="S298" s="1"/>
  <c r="T298" s="1"/>
  <c r="U298" s="1"/>
  <c r="W298" s="1"/>
  <c r="O300" l="1"/>
  <c r="H303"/>
  <c r="F303"/>
  <c r="F306" s="1"/>
  <c r="D303"/>
  <c r="I302"/>
  <c r="I304"/>
  <c r="P300"/>
  <c r="R300" s="1"/>
  <c r="S300" s="1"/>
  <c r="T300" s="1"/>
  <c r="U300" s="1"/>
  <c r="W300" s="1"/>
  <c r="M302" l="1"/>
  <c r="M304"/>
  <c r="J302"/>
  <c r="N302" s="1"/>
  <c r="O302" s="1"/>
  <c r="J304"/>
  <c r="N304" s="1"/>
  <c r="O304" s="1"/>
  <c r="P304" l="1"/>
  <c r="R304" s="1"/>
  <c r="S304" s="1"/>
  <c r="T304" s="1"/>
  <c r="U304" s="1"/>
  <c r="W304" s="1"/>
  <c r="P302"/>
  <c r="R302" s="1"/>
  <c r="S302" s="1"/>
  <c r="T302" s="1"/>
  <c r="U302" s="1"/>
  <c r="U307" l="1"/>
  <c r="W302"/>
  <c r="U308" l="1"/>
  <c r="U311" s="1"/>
  <c r="U312" s="1"/>
  <c r="X302"/>
</calcChain>
</file>

<file path=xl/sharedStrings.xml><?xml version="1.0" encoding="utf-8"?>
<sst xmlns="http://schemas.openxmlformats.org/spreadsheetml/2006/main" count="592" uniqueCount="160">
  <si>
    <t>Capacidade = (2x(1.440 - tm)/(ti +te +tl)) * k</t>
  </si>
  <si>
    <t>Premissas:</t>
  </si>
  <si>
    <t xml:space="preserve"> minutos/dia</t>
  </si>
  <si>
    <t>Atraso sobre a velocidade de viagem=</t>
  </si>
  <si>
    <t>tm =</t>
  </si>
  <si>
    <t xml:space="preserve"> min (tempo de manutenção da via/dia)</t>
  </si>
  <si>
    <t>Pares de trens/dia de outros trens =</t>
  </si>
  <si>
    <t xml:space="preserve">    ti e te = tempo de viagem sentido importação e exportação</t>
  </si>
  <si>
    <t>Comprimento do trem =</t>
  </si>
  <si>
    <t>m</t>
  </si>
  <si>
    <t xml:space="preserve">           Tl=</t>
  </si>
  <si>
    <t xml:space="preserve">min (tempo de licenciamento) </t>
  </si>
  <si>
    <t>Comprimento mínimo do desvio de cruzamento =</t>
  </si>
  <si>
    <t xml:space="preserve">           k =</t>
  </si>
  <si>
    <t>Pátios</t>
  </si>
  <si>
    <t>Distância</t>
  </si>
  <si>
    <t>Extensão dos Desvios</t>
  </si>
  <si>
    <t>Parada do Trem</t>
  </si>
  <si>
    <t>Extensão entre Paradas</t>
  </si>
  <si>
    <t>Velocidade de Marcha Autorizada</t>
  </si>
  <si>
    <t>Tempo de Percurso</t>
  </si>
  <si>
    <t>Tempo e Velocidade Médias de Viagem</t>
  </si>
  <si>
    <t>Atraso</t>
  </si>
  <si>
    <t>Velocidade com Atraso</t>
  </si>
  <si>
    <t>Tempo</t>
  </si>
  <si>
    <t>Capacidade</t>
  </si>
  <si>
    <t>Programa de Trens</t>
  </si>
  <si>
    <t>Limite</t>
  </si>
  <si>
    <t xml:space="preserve">Centro </t>
  </si>
  <si>
    <t>Entre Pátios</t>
  </si>
  <si>
    <t>Importação</t>
  </si>
  <si>
    <t>Exportação</t>
  </si>
  <si>
    <t>Total</t>
  </si>
  <si>
    <t>sobre</t>
  </si>
  <si>
    <t>Ida + Volta</t>
  </si>
  <si>
    <t xml:space="preserve">trem/dia </t>
  </si>
  <si>
    <t>Pares de trem/dia</t>
  </si>
  <si>
    <t>Outros - Pares de trem/dia</t>
  </si>
  <si>
    <t>Carga - Pares de trem/dia</t>
  </si>
  <si>
    <t>ti</t>
  </si>
  <si>
    <t>te</t>
  </si>
  <si>
    <t>ti + te</t>
  </si>
  <si>
    <t xml:space="preserve">Headway </t>
  </si>
  <si>
    <t>km</t>
  </si>
  <si>
    <t>km/h</t>
  </si>
  <si>
    <t>min</t>
  </si>
  <si>
    <t xml:space="preserve"> Viagem</t>
  </si>
  <si>
    <t>hs</t>
  </si>
  <si>
    <t>Barranqueras</t>
  </si>
  <si>
    <t>Cacui</t>
  </si>
  <si>
    <t>Tirol</t>
  </si>
  <si>
    <t>Makalle</t>
  </si>
  <si>
    <t>Lapachito</t>
  </si>
  <si>
    <t>La escondida</t>
  </si>
  <si>
    <t>Fortin Aguilar</t>
  </si>
  <si>
    <t>Fortin Chaja</t>
  </si>
  <si>
    <t>Pcia de la Plaza</t>
  </si>
  <si>
    <t>Guayaibi</t>
  </si>
  <si>
    <t>Machagai</t>
  </si>
  <si>
    <t>Napalpi</t>
  </si>
  <si>
    <t>La Chiquita</t>
  </si>
  <si>
    <t>P. R. S. Peña</t>
  </si>
  <si>
    <t>Napenay</t>
  </si>
  <si>
    <t>Avia Terai</t>
  </si>
  <si>
    <t>Total de pares de trens/dia =</t>
  </si>
  <si>
    <t>Limite pares de trens/dia =</t>
  </si>
  <si>
    <t>Fonte: Zona de Integración del Centro Oeste de America del Sur (ZICOSUR) e Ferrocarril Belgrano Cargas S.A.</t>
  </si>
  <si>
    <t>Peso médio do trem (t) =</t>
  </si>
  <si>
    <t>Número de dias por ano =</t>
  </si>
  <si>
    <t>Capacidade (milhões de toneladas/ano) =</t>
  </si>
  <si>
    <t>Com sazonalidade</t>
  </si>
  <si>
    <t>Pampa del Infierno</t>
  </si>
  <si>
    <t>Los Frentones</t>
  </si>
  <si>
    <t>Rio Muerto</t>
  </si>
  <si>
    <t>Los Pirpintos</t>
  </si>
  <si>
    <t>El Cabure</t>
  </si>
  <si>
    <t>Los Tigres</t>
  </si>
  <si>
    <t>Monte Quemado</t>
  </si>
  <si>
    <t>Urutaru</t>
  </si>
  <si>
    <t>Taco Pozo</t>
  </si>
  <si>
    <t>Tolloche</t>
  </si>
  <si>
    <t>Ntra. Señora de Talavera</t>
  </si>
  <si>
    <t>Macapilo</t>
  </si>
  <si>
    <t>El Quebrachal</t>
  </si>
  <si>
    <t>Gaona</t>
  </si>
  <si>
    <t>J.V. Gonzalez</t>
  </si>
  <si>
    <t>Ceibalito</t>
  </si>
  <si>
    <t>Chorroarin</t>
  </si>
  <si>
    <t>El Tunal</t>
  </si>
  <si>
    <t>Bajo Grande</t>
  </si>
  <si>
    <t>El Galpon</t>
  </si>
  <si>
    <t>Esteco</t>
  </si>
  <si>
    <t>Schneidewind</t>
  </si>
  <si>
    <t>Rio Piedras</t>
  </si>
  <si>
    <t>Lumbrera</t>
  </si>
  <si>
    <t>Juramento</t>
  </si>
  <si>
    <t>Cruz Quemada</t>
  </si>
  <si>
    <t>Las Mesitas</t>
  </si>
  <si>
    <t>Palomitas</t>
  </si>
  <si>
    <t>Cabeza de Buey</t>
  </si>
  <si>
    <t>Campo Santo</t>
  </si>
  <si>
    <t>Betania</t>
  </si>
  <si>
    <t>Mojotoro</t>
  </si>
  <si>
    <t>Salta</t>
  </si>
  <si>
    <t>General Alvarado</t>
  </si>
  <si>
    <t>Cerrillos</t>
  </si>
  <si>
    <t>Rosario de Lerma</t>
  </si>
  <si>
    <t>Campo Quijano</t>
  </si>
  <si>
    <t>Virrey Toledo</t>
  </si>
  <si>
    <t>Chorrillos</t>
  </si>
  <si>
    <t>Ing. Maury</t>
  </si>
  <si>
    <t>Gdor. M. Sola</t>
  </si>
  <si>
    <t>Puerta Tastil</t>
  </si>
  <si>
    <t>Maseta</t>
  </si>
  <si>
    <t>Diego de Almagro</t>
  </si>
  <si>
    <t>Cachinal</t>
  </si>
  <si>
    <t>Muñano</t>
  </si>
  <si>
    <t>Los Patos</t>
  </si>
  <si>
    <t>S.A. de Los Cobres</t>
  </si>
  <si>
    <t>Mina Concordia</t>
  </si>
  <si>
    <t>KM 1.365</t>
  </si>
  <si>
    <t>Olacapato</t>
  </si>
  <si>
    <t>Laguna Seca</t>
  </si>
  <si>
    <t>Salar de Pocitos</t>
  </si>
  <si>
    <t>Unquilla</t>
  </si>
  <si>
    <t>KM 1.500</t>
  </si>
  <si>
    <t>Tolar Grande</t>
  </si>
  <si>
    <t>Taca Taca</t>
  </si>
  <si>
    <t>Vega Arizaro</t>
  </si>
  <si>
    <t>Caipe</t>
  </si>
  <si>
    <t>Quebrada del Agua</t>
  </si>
  <si>
    <t>Quebrada del Agua 2</t>
  </si>
  <si>
    <t>Socompa</t>
  </si>
  <si>
    <t>TABELA - 5.6.63.1 // Plano de Vias Trecho Barranqueras - Avia Terai - Horizonte de 2015 a 2045</t>
  </si>
  <si>
    <t>TABELA 5.6.63.6 // Plano de Vias Trecho Salta - Socompa - Horizontes de 2015 a 2045</t>
  </si>
  <si>
    <t>% (Fator da Fórmula de Colson (disponibilidade x utilização)</t>
  </si>
  <si>
    <t>km Inicial</t>
  </si>
  <si>
    <t>km Final</t>
  </si>
  <si>
    <t>Resistencia</t>
  </si>
  <si>
    <t>Laguna Blanca</t>
  </si>
  <si>
    <t>Coronel Avalos</t>
  </si>
  <si>
    <t>Extensão dos desvios em vermelho significa que seu comprimento deve ser aumentado para atender o novo trem-tipo de projeto.</t>
  </si>
  <si>
    <t>a Vel. de</t>
  </si>
  <si>
    <t>TABELA 5.6.63.2 // Plano de Vias Trecho Avia Terai - J. V. Gonzalez - Horizontes de 2015 a 2045</t>
  </si>
  <si>
    <t>% Fator da Fórmula de Colson (disponibilidade x utilização)</t>
  </si>
  <si>
    <t>Atraso sobre a velocidade de viagem =</t>
  </si>
  <si>
    <t>TABELA 5.6.63.3 // Plano de Vias Trecho J. V. Gonzalez - Metán - Horizontes de 2015 a 2045</t>
  </si>
  <si>
    <t>Coronel Olleros</t>
  </si>
  <si>
    <t>Metán</t>
  </si>
  <si>
    <t>TABELA 2.6.63.4 // Plano de Vias Trecho Metán - Güemes - Horizontes de 2015 a 2045</t>
  </si>
  <si>
    <t>Güemes</t>
  </si>
  <si>
    <t>Virgilio Tedin</t>
  </si>
  <si>
    <t>TABELA 5.6.63.5 // Plano de Vias Trecho Güemes - Salta - Horizontes de 2015 a 2045</t>
  </si>
  <si>
    <t>El Alisal</t>
  </si>
  <si>
    <t>O Trem de Las Nubes, turístico, percorre somente o trecho Salta -  Viaducto  La Polvorilla (entre as estações de Mina Concordia e Olacapato)</t>
  </si>
  <si>
    <t>Pampa de Los Guanacos</t>
  </si>
  <si>
    <t>Concepción del Bermejo</t>
  </si>
  <si>
    <t>Extensão dos desvios em vermelho significa que seu comprimento deve ser aumentado para atender ao novo trem-tipo de projeto.</t>
  </si>
  <si>
    <t xml:space="preserve">           Enefer - Consultoria, Projetos Ltda.</t>
  </si>
  <si>
    <t xml:space="preserve">  Enefer - Consultoria, Projetos Ltda.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</si>
</sst>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0.0"/>
    <numFmt numFmtId="167" formatCode="#,##0.0"/>
  </numFmts>
  <fonts count="1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FF0000"/>
      <name val="Arial"/>
      <family val="2"/>
    </font>
    <font>
      <sz val="16"/>
      <color rgb="FFFF0000"/>
      <name val="Arial"/>
      <family val="2"/>
    </font>
    <font>
      <sz val="10"/>
      <name val="Geneva"/>
    </font>
    <font>
      <b/>
      <sz val="12"/>
      <color theme="6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0" fontId="9" fillId="0" borderId="0" applyFont="0" applyFill="0" applyBorder="0" applyAlignment="0" applyProtection="0"/>
    <xf numFmtId="0" fontId="1" fillId="0" borderId="0"/>
  </cellStyleXfs>
  <cellXfs count="137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4" fillId="2" borderId="0" xfId="0" applyFont="1" applyFill="1" applyAlignment="1">
      <alignment horizontal="left"/>
    </xf>
    <xf numFmtId="1" fontId="2" fillId="2" borderId="0" xfId="0" applyNumberFormat="1" applyFont="1" applyFill="1"/>
    <xf numFmtId="3" fontId="2" fillId="2" borderId="0" xfId="0" applyNumberFormat="1" applyFont="1" applyFill="1"/>
    <xf numFmtId="9" fontId="2" fillId="2" borderId="0" xfId="0" applyNumberFormat="1" applyFont="1" applyFill="1"/>
    <xf numFmtId="1" fontId="2" fillId="2" borderId="0" xfId="0" applyNumberFormat="1" applyFont="1" applyFill="1" applyAlignment="1">
      <alignment horizontal="right"/>
    </xf>
    <xf numFmtId="2" fontId="2" fillId="2" borderId="0" xfId="0" applyNumberFormat="1" applyFont="1" applyFill="1"/>
    <xf numFmtId="0" fontId="6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/>
    </xf>
    <xf numFmtId="1" fontId="4" fillId="2" borderId="6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165" fontId="2" fillId="2" borderId="1" xfId="0" applyNumberFormat="1" applyFont="1" applyFill="1" applyBorder="1"/>
    <xf numFmtId="0" fontId="2" fillId="2" borderId="1" xfId="0" applyFont="1" applyFill="1" applyBorder="1"/>
    <xf numFmtId="166" fontId="2" fillId="2" borderId="1" xfId="0" applyNumberFormat="1" applyFont="1" applyFill="1" applyBorder="1"/>
    <xf numFmtId="2" fontId="2" fillId="2" borderId="1" xfId="0" applyNumberFormat="1" applyFont="1" applyFill="1" applyBorder="1"/>
    <xf numFmtId="9" fontId="2" fillId="2" borderId="1" xfId="0" applyNumberFormat="1" applyFont="1" applyFill="1" applyBorder="1"/>
    <xf numFmtId="164" fontId="2" fillId="2" borderId="1" xfId="0" applyNumberFormat="1" applyFont="1" applyFill="1" applyBorder="1"/>
    <xf numFmtId="0" fontId="4" fillId="2" borderId="0" xfId="0" applyFont="1" applyFill="1" applyBorder="1" applyAlignment="1">
      <alignment horizontal="left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right" vertical="center"/>
    </xf>
    <xf numFmtId="2" fontId="2" fillId="2" borderId="0" xfId="0" applyNumberFormat="1" applyFont="1" applyFill="1" applyBorder="1" applyAlignment="1">
      <alignment horizontal="right"/>
    </xf>
    <xf numFmtId="4" fontId="2" fillId="2" borderId="0" xfId="0" applyNumberFormat="1" applyFont="1" applyFill="1" applyBorder="1"/>
    <xf numFmtId="0" fontId="2" fillId="2" borderId="0" xfId="0" applyFont="1" applyFill="1" applyBorder="1"/>
    <xf numFmtId="165" fontId="2" fillId="2" borderId="0" xfId="0" applyNumberFormat="1" applyFont="1" applyFill="1" applyBorder="1"/>
    <xf numFmtId="166" fontId="2" fillId="2" borderId="0" xfId="0" applyNumberFormat="1" applyFont="1" applyFill="1" applyBorder="1"/>
    <xf numFmtId="2" fontId="2" fillId="2" borderId="0" xfId="0" applyNumberFormat="1" applyFont="1" applyFill="1" applyBorder="1"/>
    <xf numFmtId="9" fontId="2" fillId="2" borderId="0" xfId="0" applyNumberFormat="1" applyFont="1" applyFill="1" applyBorder="1"/>
    <xf numFmtId="164" fontId="2" fillId="2" borderId="0" xfId="0" applyNumberFormat="1" applyFont="1" applyFill="1" applyBorder="1"/>
    <xf numFmtId="167" fontId="2" fillId="2" borderId="0" xfId="0" applyNumberFormat="1" applyFont="1" applyFill="1" applyBorder="1"/>
    <xf numFmtId="0" fontId="3" fillId="2" borderId="0" xfId="0" applyFont="1" applyFill="1" applyBorder="1" applyAlignment="1">
      <alignment horizontal="left" vertical="center"/>
    </xf>
    <xf numFmtId="4" fontId="2" fillId="2" borderId="0" xfId="0" applyNumberFormat="1" applyFont="1" applyFill="1" applyBorder="1" applyAlignment="1">
      <alignment horizontal="right"/>
    </xf>
    <xf numFmtId="164" fontId="7" fillId="2" borderId="0" xfId="0" applyNumberFormat="1" applyFont="1" applyFill="1" applyBorder="1" applyAlignment="1">
      <alignment horizontal="right"/>
    </xf>
    <xf numFmtId="164" fontId="7" fillId="2" borderId="0" xfId="0" applyNumberFormat="1" applyFont="1" applyFill="1" applyBorder="1" applyAlignment="1">
      <alignment horizontal="right" vertical="center"/>
    </xf>
    <xf numFmtId="4" fontId="7" fillId="2" borderId="0" xfId="0" applyNumberFormat="1" applyFont="1" applyFill="1" applyBorder="1"/>
    <xf numFmtId="0" fontId="3" fillId="2" borderId="6" xfId="0" applyFont="1" applyFill="1" applyBorder="1" applyAlignment="1">
      <alignment horizontal="left" vertical="center"/>
    </xf>
    <xf numFmtId="164" fontId="2" fillId="2" borderId="6" xfId="0" applyNumberFormat="1" applyFont="1" applyFill="1" applyBorder="1" applyAlignment="1">
      <alignment horizontal="right"/>
    </xf>
    <xf numFmtId="2" fontId="2" fillId="2" borderId="6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right"/>
    </xf>
    <xf numFmtId="165" fontId="2" fillId="2" borderId="6" xfId="0" applyNumberFormat="1" applyFont="1" applyFill="1" applyBorder="1"/>
    <xf numFmtId="0" fontId="2" fillId="2" borderId="6" xfId="0" applyFont="1" applyFill="1" applyBorder="1"/>
    <xf numFmtId="166" fontId="2" fillId="2" borderId="6" xfId="0" applyNumberFormat="1" applyFont="1" applyFill="1" applyBorder="1"/>
    <xf numFmtId="0" fontId="4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right"/>
    </xf>
    <xf numFmtId="2" fontId="3" fillId="2" borderId="0" xfId="0" applyNumberFormat="1" applyFont="1" applyFill="1" applyBorder="1" applyAlignment="1">
      <alignment horizontal="right"/>
    </xf>
    <xf numFmtId="4" fontId="3" fillId="2" borderId="0" xfId="0" applyNumberFormat="1" applyFont="1" applyFill="1" applyBorder="1" applyAlignment="1">
      <alignment horizontal="right"/>
    </xf>
    <xf numFmtId="164" fontId="5" fillId="2" borderId="0" xfId="0" applyNumberFormat="1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165" fontId="5" fillId="2" borderId="0" xfId="0" applyNumberFormat="1" applyFont="1" applyFill="1" applyBorder="1"/>
    <xf numFmtId="0" fontId="5" fillId="2" borderId="0" xfId="0" applyFont="1" applyFill="1" applyBorder="1"/>
    <xf numFmtId="166" fontId="5" fillId="2" borderId="0" xfId="0" applyNumberFormat="1" applyFont="1" applyFill="1" applyBorder="1"/>
    <xf numFmtId="166" fontId="2" fillId="2" borderId="0" xfId="0" applyNumberFormat="1" applyFont="1" applyFill="1"/>
    <xf numFmtId="0" fontId="2" fillId="0" borderId="0" xfId="0" applyFont="1"/>
    <xf numFmtId="4" fontId="2" fillId="2" borderId="0" xfId="0" applyNumberFormat="1" applyFont="1" applyFill="1"/>
    <xf numFmtId="0" fontId="2" fillId="2" borderId="5" xfId="0" applyFont="1" applyFill="1" applyBorder="1"/>
    <xf numFmtId="0" fontId="2" fillId="2" borderId="7" xfId="0" applyFont="1" applyFill="1" applyBorder="1"/>
    <xf numFmtId="0" fontId="4" fillId="2" borderId="0" xfId="0" applyFont="1" applyFill="1"/>
    <xf numFmtId="167" fontId="4" fillId="2" borderId="0" xfId="0" applyNumberFormat="1" applyFont="1" applyFill="1"/>
    <xf numFmtId="9" fontId="4" fillId="2" borderId="0" xfId="0" applyNumberFormat="1" applyFont="1" applyFill="1"/>
    <xf numFmtId="0" fontId="2" fillId="0" borderId="0" xfId="0" applyFont="1" applyFill="1" applyBorder="1"/>
    <xf numFmtId="1" fontId="2" fillId="0" borderId="0" xfId="0" applyNumberFormat="1" applyFont="1"/>
    <xf numFmtId="0" fontId="4" fillId="0" borderId="0" xfId="0" applyFont="1"/>
    <xf numFmtId="9" fontId="4" fillId="0" borderId="0" xfId="0" applyNumberFormat="1" applyFont="1" applyFill="1"/>
    <xf numFmtId="0" fontId="4" fillId="0" borderId="0" xfId="0" applyFont="1" applyFill="1"/>
    <xf numFmtId="167" fontId="4" fillId="0" borderId="0" xfId="0" applyNumberFormat="1" applyFont="1" applyFill="1"/>
    <xf numFmtId="0" fontId="4" fillId="2" borderId="0" xfId="0" applyFont="1" applyFill="1" applyBorder="1"/>
    <xf numFmtId="9" fontId="4" fillId="2" borderId="0" xfId="0" applyNumberFormat="1" applyFont="1" applyFill="1" applyBorder="1"/>
    <xf numFmtId="167" fontId="4" fillId="2" borderId="0" xfId="0" applyNumberFormat="1" applyFont="1" applyFill="1" applyBorder="1"/>
    <xf numFmtId="0" fontId="3" fillId="2" borderId="0" xfId="0" applyFont="1" applyFill="1" applyBorder="1" applyAlignment="1">
      <alignment horizontal="left" vertical="top"/>
    </xf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1" fontId="2" fillId="2" borderId="0" xfId="0" applyNumberFormat="1" applyFont="1" applyFill="1" applyBorder="1" applyAlignment="1">
      <alignment horizontal="right"/>
    </xf>
    <xf numFmtId="167" fontId="2" fillId="2" borderId="1" xfId="0" applyNumberFormat="1" applyFont="1" applyFill="1" applyBorder="1"/>
    <xf numFmtId="0" fontId="4" fillId="2" borderId="6" xfId="0" applyFont="1" applyFill="1" applyBorder="1" applyAlignment="1">
      <alignment horizontal="left"/>
    </xf>
    <xf numFmtId="3" fontId="2" fillId="2" borderId="5" xfId="0" applyNumberFormat="1" applyFont="1" applyFill="1" applyBorder="1"/>
    <xf numFmtId="0" fontId="0" fillId="2" borderId="0" xfId="0" applyFill="1" applyBorder="1"/>
    <xf numFmtId="0" fontId="4" fillId="2" borderId="1" xfId="0" applyFont="1" applyFill="1" applyBorder="1" applyAlignment="1">
      <alignment horizontal="left"/>
    </xf>
    <xf numFmtId="2" fontId="2" fillId="2" borderId="6" xfId="0" applyNumberFormat="1" applyFont="1" applyFill="1" applyBorder="1"/>
    <xf numFmtId="167" fontId="2" fillId="2" borderId="6" xfId="0" applyNumberFormat="1" applyFont="1" applyFill="1" applyBorder="1"/>
    <xf numFmtId="0" fontId="3" fillId="2" borderId="0" xfId="0" applyFont="1" applyFill="1" applyBorder="1" applyAlignment="1">
      <alignment horizontal="center"/>
    </xf>
    <xf numFmtId="9" fontId="2" fillId="2" borderId="6" xfId="0" applyNumberFormat="1" applyFont="1" applyFill="1" applyBorder="1"/>
    <xf numFmtId="164" fontId="2" fillId="2" borderId="6" xfId="0" applyNumberFormat="1" applyFont="1" applyFill="1" applyBorder="1"/>
    <xf numFmtId="0" fontId="2" fillId="0" borderId="0" xfId="0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4" fontId="2" fillId="2" borderId="6" xfId="0" applyNumberFormat="1" applyFont="1" applyFill="1" applyBorder="1"/>
    <xf numFmtId="0" fontId="3" fillId="2" borderId="5" xfId="0" applyFont="1" applyFill="1" applyBorder="1" applyAlignment="1">
      <alignment horizontal="center" vertical="center"/>
    </xf>
    <xf numFmtId="165" fontId="2" fillId="2" borderId="5" xfId="0" applyNumberFormat="1" applyFont="1" applyFill="1" applyBorder="1"/>
    <xf numFmtId="2" fontId="2" fillId="2" borderId="5" xfId="0" applyNumberFormat="1" applyFont="1" applyFill="1" applyBorder="1" applyAlignment="1">
      <alignment horizontal="right"/>
    </xf>
    <xf numFmtId="4" fontId="2" fillId="2" borderId="5" xfId="0" applyNumberFormat="1" applyFont="1" applyFill="1" applyBorder="1" applyAlignment="1">
      <alignment horizontal="right"/>
    </xf>
    <xf numFmtId="166" fontId="0" fillId="0" borderId="0" xfId="0" applyNumberFormat="1"/>
    <xf numFmtId="167" fontId="0" fillId="0" borderId="0" xfId="0" applyNumberFormat="1"/>
    <xf numFmtId="3" fontId="0" fillId="0" borderId="0" xfId="0" applyNumberFormat="1"/>
    <xf numFmtId="1" fontId="8" fillId="2" borderId="0" xfId="0" applyNumberFormat="1" applyFont="1" applyFill="1" applyBorder="1"/>
    <xf numFmtId="0" fontId="8" fillId="2" borderId="0" xfId="0" applyFont="1" applyFill="1" applyBorder="1"/>
    <xf numFmtId="0" fontId="10" fillId="2" borderId="0" xfId="0" applyFont="1" applyFill="1"/>
    <xf numFmtId="0" fontId="10" fillId="2" borderId="0" xfId="0" applyFont="1" applyFill="1" applyBorder="1"/>
    <xf numFmtId="0" fontId="2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wrapText="1"/>
    </xf>
    <xf numFmtId="1" fontId="4" fillId="2" borderId="5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/>
    </xf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lientes%202010%20e%202011/BNDES%20%20Bioce&#226;nico/ETAPA%202/CAP&#205;TULOS/Produto%209%20Custos/Custos%20CVLP%20%20Paranagu&#225;%20Antofagasta%2013.04.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atamares"/>
      <sheetName val="Frota Trem Atual"/>
      <sheetName val="Frota Trem"/>
      <sheetName val="Premissas"/>
      <sheetName val="Opex Resumo 45"/>
      <sheetName val="Opex Resumo 30"/>
      <sheetName val="Opex Resumo 15"/>
      <sheetName val="Opex Resumo 10"/>
      <sheetName val="Opex Res Br"/>
      <sheetName val="Opex Res Par"/>
      <sheetName val="Opex Res Arg"/>
      <sheetName val="Opex Res Chi"/>
      <sheetName val="Opex Res Cor"/>
      <sheetName val="Opex Res Geral"/>
      <sheetName val="Invest Repos"/>
      <sheetName val="Reposição"/>
      <sheetName val="Distancias"/>
      <sheetName val="Demandas"/>
      <sheetName val="Trens Tipos e Ciclos"/>
      <sheetName val="Frotas"/>
      <sheetName val="Invest Frotas"/>
      <sheetName val="Invest Frotas (2)"/>
      <sheetName val="Resumo Cap x Prod"/>
      <sheetName val="Invest Plano de Vias"/>
      <sheetName val="Resumo PL "/>
      <sheetName val="Plano de Vias BR 2010"/>
      <sheetName val="Plano de Vias BR 2045"/>
      <sheetName val="Plano de Vias Var BR 2045"/>
      <sheetName val="Plano de Vias PA 2045"/>
      <sheetName val="Plano de Vias Ar 2010"/>
      <sheetName val="Plano de Vias Ar 2045"/>
      <sheetName val="Plano de Vias Ch 2010"/>
      <sheetName val="Plano de Vias Ch 2045"/>
      <sheetName val="Terminais"/>
      <sheetName val="Equipagem"/>
      <sheetName val="Diesel 3"/>
      <sheetName val="Diesel 2"/>
      <sheetName val="Diesel 1"/>
      <sheetName val="Loco Manu 2"/>
      <sheetName val="Loco Manu 1"/>
      <sheetName val="Vagão Manu 2"/>
      <sheetName val="Vagão Man 1"/>
      <sheetName val="Loco e Vag Manut "/>
      <sheetName val="Seguro de Frotas"/>
      <sheetName val="Sinal Manut"/>
      <sheetName val="Extensão de Vias"/>
      <sheetName val="Via Perm Manut 10"/>
      <sheetName val="Via Perm Manut 15"/>
      <sheetName val="Outros Cus Oper"/>
      <sheetName val="Custos Des Gerais"/>
      <sheetName val="Desp Adm e Comer"/>
      <sheetName val="Efetivo de Pessoal"/>
      <sheetName val="Trilhos ALL"/>
      <sheetName val="Res Normal"/>
      <sheetName val="Parametros"/>
      <sheetName val="Custo trem 10"/>
      <sheetName val="Opex + Capital"/>
      <sheetName val="Check List"/>
      <sheetName val="Calculation"/>
    </sheetNames>
    <sheetDataSet>
      <sheetData sheetId="0" refreshError="1"/>
      <sheetData sheetId="1" refreshError="1"/>
      <sheetData sheetId="2" refreshError="1"/>
      <sheetData sheetId="3" refreshError="1">
        <row r="102">
          <cell r="J102">
            <v>95</v>
          </cell>
          <cell r="M102">
            <v>95</v>
          </cell>
        </row>
        <row r="104">
          <cell r="J104">
            <v>80</v>
          </cell>
          <cell r="M104">
            <v>80</v>
          </cell>
        </row>
        <row r="106">
          <cell r="K106">
            <v>5</v>
          </cell>
          <cell r="M106">
            <v>5</v>
          </cell>
        </row>
        <row r="108">
          <cell r="J108">
            <v>120</v>
          </cell>
          <cell r="M108">
            <v>120</v>
          </cell>
        </row>
        <row r="109">
          <cell r="C109">
            <v>65.67</v>
          </cell>
        </row>
        <row r="110">
          <cell r="C110">
            <v>80</v>
          </cell>
        </row>
        <row r="112">
          <cell r="J112">
            <v>20</v>
          </cell>
          <cell r="M112">
            <v>15</v>
          </cell>
        </row>
        <row r="114">
          <cell r="I114">
            <v>1</v>
          </cell>
          <cell r="M114">
            <v>1</v>
          </cell>
        </row>
        <row r="115">
          <cell r="I115">
            <v>2</v>
          </cell>
          <cell r="M115">
            <v>1</v>
          </cell>
        </row>
        <row r="116">
          <cell r="I116">
            <v>1</v>
          </cell>
        </row>
        <row r="117">
          <cell r="J117">
            <v>20</v>
          </cell>
          <cell r="M117">
            <v>10</v>
          </cell>
        </row>
        <row r="124">
          <cell r="J124">
            <v>330</v>
          </cell>
          <cell r="M124">
            <v>300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22">
          <cell r="M22">
            <v>224</v>
          </cell>
        </row>
        <row r="23">
          <cell r="M23">
            <v>435.34</v>
          </cell>
        </row>
        <row r="149">
          <cell r="K149">
            <v>3218</v>
          </cell>
          <cell r="M149">
            <v>702</v>
          </cell>
        </row>
        <row r="152">
          <cell r="K152">
            <v>955</v>
          </cell>
          <cell r="M152">
            <v>232</v>
          </cell>
        </row>
        <row r="153">
          <cell r="K153">
            <v>1166.3399999999999</v>
          </cell>
          <cell r="M153">
            <v>443.34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C312"/>
  <sheetViews>
    <sheetView tabSelected="1" zoomScale="90" zoomScaleNormal="90" workbookViewId="0">
      <selection activeCell="A3" sqref="A3"/>
    </sheetView>
  </sheetViews>
  <sheetFormatPr defaultRowHeight="15"/>
  <cols>
    <col min="1" max="1" width="29.42578125" style="64" customWidth="1"/>
    <col min="2" max="2" width="11.7109375" style="64" customWidth="1"/>
    <col min="3" max="3" width="11.42578125" style="64" customWidth="1"/>
    <col min="4" max="4" width="11.5703125" style="64" customWidth="1"/>
    <col min="5" max="5" width="10.42578125" style="64" customWidth="1"/>
    <col min="6" max="6" width="11.42578125" style="64" customWidth="1"/>
    <col min="7" max="7" width="13.7109375" style="64" customWidth="1"/>
    <col min="8" max="8" width="12.7109375" style="64" customWidth="1"/>
    <col min="9" max="9" width="13.7109375" style="64" customWidth="1"/>
    <col min="10" max="10" width="14.28515625" style="64" customWidth="1"/>
    <col min="11" max="11" width="14" style="64" customWidth="1"/>
    <col min="12" max="12" width="12.85546875" style="64" customWidth="1"/>
    <col min="13" max="13" width="13.7109375" style="64" customWidth="1"/>
    <col min="14" max="14" width="12.85546875" style="64" customWidth="1"/>
    <col min="15" max="15" width="9" style="64" customWidth="1"/>
    <col min="16" max="16" width="9.42578125" style="64" customWidth="1"/>
    <col min="17" max="17" width="10.42578125" style="64" customWidth="1"/>
    <col min="18" max="18" width="12.7109375" style="64" customWidth="1"/>
    <col min="19" max="19" width="13.140625" style="64" customWidth="1"/>
    <col min="20" max="20" width="10.42578125" style="64" customWidth="1"/>
    <col min="21" max="21" width="9.5703125" style="64" customWidth="1"/>
    <col min="22" max="22" width="10.28515625" style="64" customWidth="1"/>
    <col min="23" max="23" width="10.7109375" style="64" customWidth="1"/>
    <col min="24" max="24" width="8" style="64" customWidth="1"/>
  </cols>
  <sheetData>
    <row r="2" spans="1:24" ht="15.75">
      <c r="A2" s="1"/>
      <c r="B2" s="108" t="s">
        <v>133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5.7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"/>
      <c r="Q3" s="2"/>
      <c r="R3" s="2"/>
      <c r="S3" s="2"/>
      <c r="T3" s="2"/>
      <c r="U3" s="2"/>
      <c r="V3" s="2"/>
      <c r="W3" s="2"/>
      <c r="X3" s="2"/>
    </row>
    <row r="4" spans="1:24">
      <c r="A4" s="1"/>
      <c r="B4" s="1" t="s">
        <v>0</v>
      </c>
      <c r="C4" s="1"/>
      <c r="D4" s="1"/>
      <c r="E4" s="4"/>
      <c r="F4" s="1"/>
      <c r="G4" s="1"/>
      <c r="H4" s="1"/>
      <c r="I4" s="1"/>
      <c r="J4" s="1"/>
      <c r="K4" s="1"/>
      <c r="L4" s="1"/>
      <c r="M4" s="1"/>
      <c r="N4" s="1"/>
      <c r="O4" s="1"/>
      <c r="P4" s="1" t="s">
        <v>1</v>
      </c>
      <c r="Q4" s="1"/>
      <c r="R4" s="1"/>
      <c r="S4" s="1"/>
      <c r="T4" s="1"/>
      <c r="U4" s="1"/>
      <c r="V4" s="1"/>
      <c r="W4" s="1"/>
      <c r="X4" s="1"/>
    </row>
    <row r="5" spans="1:24">
      <c r="A5" s="1"/>
      <c r="B5" s="4"/>
      <c r="C5" s="5">
        <v>1440</v>
      </c>
      <c r="D5" s="1" t="s">
        <v>2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 t="s">
        <v>3</v>
      </c>
      <c r="Q5" s="1"/>
      <c r="R5" s="1"/>
      <c r="S5" s="1"/>
      <c r="T5" s="1"/>
      <c r="U5" s="6">
        <f>+[4]Premissas!J112/100</f>
        <v>0.2</v>
      </c>
      <c r="V5" s="1"/>
      <c r="W5" s="1"/>
      <c r="X5" s="1"/>
    </row>
    <row r="6" spans="1:24">
      <c r="A6" s="1"/>
      <c r="B6" s="7" t="s">
        <v>4</v>
      </c>
      <c r="C6" s="1">
        <f>+[4]Premissas!J108</f>
        <v>120</v>
      </c>
      <c r="D6" s="1" t="s">
        <v>5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 t="s">
        <v>6</v>
      </c>
      <c r="Q6" s="1"/>
      <c r="R6" s="1"/>
      <c r="S6" s="1"/>
      <c r="T6" s="1"/>
      <c r="U6" s="1">
        <f>+[4]Premissas!I114+[4]Premissas!I115+[4]Premissas!I116</f>
        <v>4</v>
      </c>
      <c r="V6" s="1"/>
      <c r="W6" s="1"/>
      <c r="X6" s="1"/>
    </row>
    <row r="7" spans="1:24">
      <c r="A7" s="1"/>
      <c r="B7" s="4" t="s">
        <v>7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 t="s">
        <v>8</v>
      </c>
      <c r="Q7" s="1"/>
      <c r="R7" s="1"/>
      <c r="S7" s="1"/>
      <c r="T7" s="1"/>
      <c r="U7" s="5">
        <f>+[4]Frotas!K152</f>
        <v>955</v>
      </c>
      <c r="V7" s="2" t="s">
        <v>9</v>
      </c>
      <c r="W7" s="1"/>
      <c r="X7" s="1"/>
    </row>
    <row r="8" spans="1:24">
      <c r="A8" s="1"/>
      <c r="B8" s="4" t="s">
        <v>10</v>
      </c>
      <c r="C8" s="1">
        <f>+[4]Premissas!K106</f>
        <v>5</v>
      </c>
      <c r="D8" s="1" t="s">
        <v>11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 t="s">
        <v>12</v>
      </c>
      <c r="Q8" s="1"/>
      <c r="R8" s="1"/>
      <c r="S8" s="1"/>
      <c r="T8" s="1"/>
      <c r="U8" s="5">
        <f>+[4]Frotas!K153</f>
        <v>1166.3399999999999</v>
      </c>
      <c r="V8" s="1" t="s">
        <v>9</v>
      </c>
      <c r="W8" s="1"/>
      <c r="X8" s="1"/>
    </row>
    <row r="9" spans="1:24">
      <c r="A9" s="1"/>
      <c r="B9" s="4" t="s">
        <v>13</v>
      </c>
      <c r="C9" s="8">
        <f>+[4]Premissas!J102*[4]Premissas!J104/100</f>
        <v>76</v>
      </c>
      <c r="D9" s="1" t="s">
        <v>135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5.75" thickBot="1">
      <c r="A10" s="1"/>
      <c r="B10" s="1"/>
      <c r="C10" s="1"/>
      <c r="D10" s="1"/>
      <c r="E10" s="4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5.75">
      <c r="A11" s="118" t="s">
        <v>14</v>
      </c>
      <c r="B11" s="121" t="s">
        <v>15</v>
      </c>
      <c r="C11" s="121"/>
      <c r="D11" s="121"/>
      <c r="E11" s="121"/>
      <c r="F11" s="122" t="s">
        <v>16</v>
      </c>
      <c r="G11" s="121" t="s">
        <v>17</v>
      </c>
      <c r="H11" s="121"/>
      <c r="I11" s="121" t="s">
        <v>18</v>
      </c>
      <c r="J11" s="121"/>
      <c r="K11" s="122" t="s">
        <v>19</v>
      </c>
      <c r="L11" s="122" t="s">
        <v>20</v>
      </c>
      <c r="M11" s="125" t="s">
        <v>21</v>
      </c>
      <c r="N11" s="125"/>
      <c r="O11" s="125"/>
      <c r="P11" s="125"/>
      <c r="Q11" s="9" t="s">
        <v>22</v>
      </c>
      <c r="R11" s="134" t="s">
        <v>23</v>
      </c>
      <c r="S11" s="9" t="s">
        <v>24</v>
      </c>
      <c r="T11" s="136" t="s">
        <v>25</v>
      </c>
      <c r="U11" s="136"/>
      <c r="V11" s="136" t="s">
        <v>26</v>
      </c>
      <c r="W11" s="136"/>
      <c r="X11" s="111" t="s">
        <v>27</v>
      </c>
    </row>
    <row r="12" spans="1:24" ht="15.75">
      <c r="A12" s="119"/>
      <c r="B12" s="114" t="s">
        <v>136</v>
      </c>
      <c r="C12" s="114" t="s">
        <v>137</v>
      </c>
      <c r="D12" s="114" t="s">
        <v>28</v>
      </c>
      <c r="E12" s="116" t="s">
        <v>29</v>
      </c>
      <c r="F12" s="123"/>
      <c r="G12" s="114" t="s">
        <v>30</v>
      </c>
      <c r="H12" s="114" t="s">
        <v>31</v>
      </c>
      <c r="I12" s="114" t="s">
        <v>30</v>
      </c>
      <c r="J12" s="114" t="s">
        <v>31</v>
      </c>
      <c r="K12" s="123"/>
      <c r="L12" s="123"/>
      <c r="M12" s="10" t="s">
        <v>30</v>
      </c>
      <c r="N12" s="10" t="s">
        <v>31</v>
      </c>
      <c r="O12" s="126" t="s">
        <v>32</v>
      </c>
      <c r="P12" s="126"/>
      <c r="Q12" s="11" t="s">
        <v>33</v>
      </c>
      <c r="R12" s="132"/>
      <c r="S12" s="11" t="s">
        <v>34</v>
      </c>
      <c r="T12" s="127" t="s">
        <v>35</v>
      </c>
      <c r="U12" s="128" t="s">
        <v>36</v>
      </c>
      <c r="V12" s="131" t="s">
        <v>37</v>
      </c>
      <c r="W12" s="131" t="s">
        <v>38</v>
      </c>
      <c r="X12" s="112"/>
    </row>
    <row r="13" spans="1:24" ht="15.75">
      <c r="A13" s="119"/>
      <c r="B13" s="115"/>
      <c r="C13" s="115"/>
      <c r="D13" s="115"/>
      <c r="E13" s="117"/>
      <c r="F13" s="124"/>
      <c r="G13" s="115"/>
      <c r="H13" s="115"/>
      <c r="I13" s="115"/>
      <c r="J13" s="115"/>
      <c r="K13" s="124"/>
      <c r="L13" s="124"/>
      <c r="M13" s="10" t="s">
        <v>39</v>
      </c>
      <c r="N13" s="10" t="s">
        <v>40</v>
      </c>
      <c r="O13" s="12" t="s">
        <v>41</v>
      </c>
      <c r="P13" s="12" t="s">
        <v>41</v>
      </c>
      <c r="Q13" s="11" t="s">
        <v>142</v>
      </c>
      <c r="R13" s="135"/>
      <c r="S13" s="13" t="s">
        <v>42</v>
      </c>
      <c r="T13" s="112"/>
      <c r="U13" s="129"/>
      <c r="V13" s="132"/>
      <c r="W13" s="132"/>
      <c r="X13" s="112"/>
    </row>
    <row r="14" spans="1:24" ht="16.5" thickBot="1">
      <c r="A14" s="120"/>
      <c r="B14" s="14" t="s">
        <v>43</v>
      </c>
      <c r="C14" s="14" t="s">
        <v>43</v>
      </c>
      <c r="D14" s="15" t="s">
        <v>43</v>
      </c>
      <c r="E14" s="16" t="s">
        <v>43</v>
      </c>
      <c r="F14" s="15" t="s">
        <v>9</v>
      </c>
      <c r="G14" s="15" t="s">
        <v>43</v>
      </c>
      <c r="H14" s="15" t="s">
        <v>43</v>
      </c>
      <c r="I14" s="15" t="s">
        <v>43</v>
      </c>
      <c r="J14" s="15" t="s">
        <v>43</v>
      </c>
      <c r="K14" s="15" t="s">
        <v>44</v>
      </c>
      <c r="L14" s="15" t="s">
        <v>45</v>
      </c>
      <c r="M14" s="15" t="s">
        <v>45</v>
      </c>
      <c r="N14" s="15" t="s">
        <v>45</v>
      </c>
      <c r="O14" s="17" t="s">
        <v>45</v>
      </c>
      <c r="P14" s="17" t="s">
        <v>44</v>
      </c>
      <c r="Q14" s="17" t="s">
        <v>46</v>
      </c>
      <c r="R14" s="17" t="s">
        <v>44</v>
      </c>
      <c r="S14" s="17" t="s">
        <v>47</v>
      </c>
      <c r="T14" s="113"/>
      <c r="U14" s="130"/>
      <c r="V14" s="133"/>
      <c r="W14" s="133"/>
      <c r="X14" s="113"/>
    </row>
    <row r="15" spans="1:24" ht="15.75">
      <c r="A15" s="18" t="s">
        <v>48</v>
      </c>
      <c r="B15" s="19">
        <f>985-0.6</f>
        <v>984.4</v>
      </c>
      <c r="C15" s="20">
        <f>985+0.6</f>
        <v>985.6</v>
      </c>
      <c r="D15" s="21">
        <f>((C15-B15)/2)+B15</f>
        <v>985</v>
      </c>
      <c r="E15" s="21"/>
      <c r="F15" s="22">
        <f>+(C15-B15)*1000</f>
        <v>1200.0000000000455</v>
      </c>
      <c r="G15" s="23">
        <f>+B15+([4]Premissas!$C$109/1000+[4]Premissas!$C$110/1000/2)</f>
        <v>984.50567000000001</v>
      </c>
      <c r="H15" s="23">
        <f>+C15-([4]Premissas!$C$109/1000+[4]Premissas!$C$110/1000/2)</f>
        <v>985.49432999999999</v>
      </c>
      <c r="I15" s="24"/>
      <c r="J15" s="24"/>
      <c r="K15" s="25"/>
      <c r="L15" s="25"/>
      <c r="M15" s="24"/>
      <c r="N15" s="24"/>
      <c r="O15" s="24"/>
      <c r="P15" s="26"/>
      <c r="Q15" s="27"/>
      <c r="R15" s="26"/>
      <c r="S15" s="28"/>
      <c r="T15" s="25"/>
      <c r="U15" s="24"/>
      <c r="V15" s="25"/>
      <c r="W15" s="24"/>
      <c r="X15" s="24"/>
    </row>
    <row r="16" spans="1:24" ht="15.75">
      <c r="A16" s="29"/>
      <c r="B16" s="30"/>
      <c r="C16" s="31"/>
      <c r="D16" s="32"/>
      <c r="E16" s="32">
        <f>C15-B17</f>
        <v>10.200000000000045</v>
      </c>
      <c r="F16" s="33"/>
      <c r="G16" s="34"/>
      <c r="H16" s="34"/>
      <c r="I16" s="35">
        <f>-G17+G15</f>
        <v>9</v>
      </c>
      <c r="J16" s="35">
        <f>-H17+H15</f>
        <v>9</v>
      </c>
      <c r="K16" s="36">
        <v>50</v>
      </c>
      <c r="L16" s="36">
        <f>(E16/K16)*60</f>
        <v>12.240000000000054</v>
      </c>
      <c r="M16" s="37">
        <f>+I16/K16*60</f>
        <v>10.799999999999999</v>
      </c>
      <c r="N16" s="37">
        <f>+J16/K16*60</f>
        <v>10.799999999999999</v>
      </c>
      <c r="O16" s="37">
        <f>+N16+M16</f>
        <v>21.599999999999998</v>
      </c>
      <c r="P16" s="37">
        <f>+(I16+J16)/(O16/60)</f>
        <v>50</v>
      </c>
      <c r="Q16" s="38">
        <f>+U5</f>
        <v>0.2</v>
      </c>
      <c r="R16" s="37">
        <f>+P16-(P16*Q16)</f>
        <v>40</v>
      </c>
      <c r="S16" s="39">
        <f>+(I16+J16)/R16</f>
        <v>0.45</v>
      </c>
      <c r="T16" s="36">
        <f>+(2*($C$5-$C$6)/(S16*60+$C$8))*$C$9/100</f>
        <v>62.7</v>
      </c>
      <c r="U16" s="36">
        <f>+T16/2</f>
        <v>31.35</v>
      </c>
      <c r="V16" s="36">
        <f>+U6</f>
        <v>4</v>
      </c>
      <c r="W16" s="40">
        <f>+U16-V16</f>
        <v>27.35</v>
      </c>
      <c r="X16" s="33"/>
    </row>
    <row r="17" spans="1:24" ht="15.75">
      <c r="A17" s="41" t="s">
        <v>138</v>
      </c>
      <c r="B17" s="30">
        <f>976-0.6</f>
        <v>975.4</v>
      </c>
      <c r="C17" s="30">
        <f>976+0.6</f>
        <v>976.6</v>
      </c>
      <c r="D17" s="32">
        <f>((C17-B17)/2)+B17</f>
        <v>976</v>
      </c>
      <c r="E17" s="32"/>
      <c r="F17" s="42">
        <f>+(C17-B17)*1000</f>
        <v>1200.0000000000455</v>
      </c>
      <c r="G17" s="35">
        <f>+B17+([4]Premissas!$C$109/1000+[4]Premissas!$C$110/1000/2)</f>
        <v>975.50567000000001</v>
      </c>
      <c r="H17" s="35">
        <f>+C17-([4]Premissas!$C$109/1000+[4]Premissas!$C$110/1000/2)</f>
        <v>976.49432999999999</v>
      </c>
      <c r="I17" s="34"/>
      <c r="J17" s="34"/>
      <c r="K17" s="36"/>
      <c r="L17" s="36"/>
      <c r="M17" s="34"/>
      <c r="N17" s="34"/>
      <c r="O17" s="34"/>
      <c r="P17" s="37"/>
      <c r="Q17" s="38"/>
      <c r="R17" s="37"/>
      <c r="S17" s="39"/>
      <c r="T17" s="36"/>
      <c r="U17" s="36"/>
      <c r="V17" s="36"/>
      <c r="W17" s="40"/>
      <c r="X17" s="34"/>
    </row>
    <row r="18" spans="1:24" ht="15.75">
      <c r="A18" s="29"/>
      <c r="B18" s="43"/>
      <c r="C18" s="44"/>
      <c r="D18" s="32"/>
      <c r="E18" s="32">
        <f>C17-B19</f>
        <v>7.2000000000000455</v>
      </c>
      <c r="F18" s="33"/>
      <c r="G18" s="34"/>
      <c r="H18" s="34"/>
      <c r="I18" s="35">
        <f>-G19+G17</f>
        <v>6</v>
      </c>
      <c r="J18" s="35">
        <f>-H19+H17</f>
        <v>6</v>
      </c>
      <c r="K18" s="36">
        <f>+K16</f>
        <v>50</v>
      </c>
      <c r="L18" s="36">
        <f>(E18/K18)*60</f>
        <v>8.6400000000000539</v>
      </c>
      <c r="M18" s="37">
        <f>+I18/K18*60</f>
        <v>7.1999999999999993</v>
      </c>
      <c r="N18" s="37">
        <f>+J18/K18*60</f>
        <v>7.1999999999999993</v>
      </c>
      <c r="O18" s="37">
        <f>+N18+M18</f>
        <v>14.399999999999999</v>
      </c>
      <c r="P18" s="37">
        <f>+(I18+J18)/(O18/60)</f>
        <v>50.000000000000007</v>
      </c>
      <c r="Q18" s="38">
        <f>+Q16</f>
        <v>0.2</v>
      </c>
      <c r="R18" s="37">
        <f>+P18-(P18*Q18)</f>
        <v>40.000000000000007</v>
      </c>
      <c r="S18" s="39">
        <f>+(I18+J18)/R18</f>
        <v>0.29999999999999993</v>
      </c>
      <c r="T18" s="36">
        <f>+(2*($C$5-$C$6)/(S18*60+$C$8))*$C$9/100</f>
        <v>87.234782608695653</v>
      </c>
      <c r="U18" s="36">
        <f>+T18/2</f>
        <v>43.617391304347827</v>
      </c>
      <c r="V18" s="36">
        <f>+V16</f>
        <v>4</v>
      </c>
      <c r="W18" s="40">
        <f>+U18-V18</f>
        <v>39.617391304347827</v>
      </c>
      <c r="X18" s="33"/>
    </row>
    <row r="19" spans="1:24" ht="15.75">
      <c r="A19" s="41" t="s">
        <v>49</v>
      </c>
      <c r="B19" s="30">
        <f>970-0.6</f>
        <v>969.4</v>
      </c>
      <c r="C19" s="30">
        <f>970+0.6</f>
        <v>970.6</v>
      </c>
      <c r="D19" s="32">
        <f>((C19-B19)/2)+B19</f>
        <v>970</v>
      </c>
      <c r="E19" s="32"/>
      <c r="F19" s="42">
        <f>+(C19-B19)*1000</f>
        <v>1200.0000000000455</v>
      </c>
      <c r="G19" s="35">
        <f>+B19+([4]Premissas!$C$109/1000+[4]Premissas!$C$110/1000/2)</f>
        <v>969.50567000000001</v>
      </c>
      <c r="H19" s="35">
        <f>+C19-([4]Premissas!$C$109/1000+[4]Premissas!$C$110/1000/2)</f>
        <v>970.49432999999999</v>
      </c>
      <c r="I19" s="34"/>
      <c r="J19" s="34"/>
      <c r="K19" s="36"/>
      <c r="L19" s="36"/>
      <c r="M19" s="34"/>
      <c r="N19" s="34"/>
      <c r="O19" s="34"/>
      <c r="P19" s="37"/>
      <c r="Q19" s="38"/>
      <c r="R19" s="37"/>
      <c r="S19" s="39"/>
      <c r="T19" s="36"/>
      <c r="U19" s="36"/>
      <c r="V19" s="36"/>
      <c r="W19" s="40"/>
      <c r="X19" s="34"/>
    </row>
    <row r="20" spans="1:24" ht="15.75">
      <c r="A20" s="29"/>
      <c r="B20" s="30"/>
      <c r="C20" s="31"/>
      <c r="D20" s="32"/>
      <c r="E20" s="32">
        <f>C19-B21</f>
        <v>7.2000000000000455</v>
      </c>
      <c r="F20" s="33"/>
      <c r="G20" s="34"/>
      <c r="H20" s="34"/>
      <c r="I20" s="35">
        <f>-G21+G19</f>
        <v>6</v>
      </c>
      <c r="J20" s="35">
        <f>-H21+H19</f>
        <v>6</v>
      </c>
      <c r="K20" s="36">
        <f>+K18</f>
        <v>50</v>
      </c>
      <c r="L20" s="36">
        <f>(E20/K20)*60</f>
        <v>8.6400000000000539</v>
      </c>
      <c r="M20" s="37">
        <f>+I20/K20*60</f>
        <v>7.1999999999999993</v>
      </c>
      <c r="N20" s="37">
        <f>+J20/K20*60</f>
        <v>7.1999999999999993</v>
      </c>
      <c r="O20" s="37">
        <f>+N20+M20</f>
        <v>14.399999999999999</v>
      </c>
      <c r="P20" s="37">
        <f>+(I20+J20)/(O20/60)</f>
        <v>50.000000000000007</v>
      </c>
      <c r="Q20" s="38">
        <f>+Q18</f>
        <v>0.2</v>
      </c>
      <c r="R20" s="37">
        <f>+P20-(P20*Q20)</f>
        <v>40.000000000000007</v>
      </c>
      <c r="S20" s="39">
        <f>+(I20+J20)/R20</f>
        <v>0.29999999999999993</v>
      </c>
      <c r="T20" s="36">
        <f>+(2*($C$5-$C$6)/(S20*60+$C$8))*$C$9/100</f>
        <v>87.234782608695653</v>
      </c>
      <c r="U20" s="36">
        <f>+T20/2</f>
        <v>43.617391304347827</v>
      </c>
      <c r="V20" s="36">
        <f>+V18</f>
        <v>4</v>
      </c>
      <c r="W20" s="40">
        <f>+U20-V20</f>
        <v>39.617391304347827</v>
      </c>
      <c r="X20" s="45"/>
    </row>
    <row r="21" spans="1:24" ht="15.75">
      <c r="A21" s="41" t="s">
        <v>140</v>
      </c>
      <c r="B21" s="30">
        <f>964-0.6</f>
        <v>963.4</v>
      </c>
      <c r="C21" s="30">
        <f>964+0.6</f>
        <v>964.6</v>
      </c>
      <c r="D21" s="32">
        <f>((C21-B21)/2)+B21</f>
        <v>964</v>
      </c>
      <c r="E21" s="32"/>
      <c r="F21" s="42">
        <f>+(C21-B21)*1000</f>
        <v>1200.0000000000455</v>
      </c>
      <c r="G21" s="35">
        <f>+B21+([4]Premissas!$C$109/1000+[4]Premissas!$C$110/1000/2)</f>
        <v>963.50567000000001</v>
      </c>
      <c r="H21" s="35">
        <f>+C21-([4]Premissas!$C$109/1000+[4]Premissas!$C$110/1000/2)</f>
        <v>964.49432999999999</v>
      </c>
      <c r="I21" s="34"/>
      <c r="J21" s="34"/>
      <c r="K21" s="36"/>
      <c r="L21" s="36"/>
      <c r="M21" s="34"/>
      <c r="N21" s="34"/>
      <c r="O21" s="34"/>
      <c r="P21" s="37"/>
      <c r="Q21" s="38"/>
      <c r="R21" s="37"/>
      <c r="S21" s="39"/>
      <c r="T21" s="36"/>
      <c r="U21" s="34"/>
      <c r="V21" s="36"/>
      <c r="W21" s="40"/>
      <c r="X21" s="34"/>
    </row>
    <row r="22" spans="1:24" ht="15.75">
      <c r="A22" s="29"/>
      <c r="B22" s="30"/>
      <c r="C22" s="31"/>
      <c r="D22" s="32"/>
      <c r="E22" s="32">
        <f>C21-B23</f>
        <v>5.2000000000000455</v>
      </c>
      <c r="F22" s="33"/>
      <c r="G22" s="34"/>
      <c r="H22" s="34"/>
      <c r="I22" s="35">
        <f>-G23+G21</f>
        <v>4</v>
      </c>
      <c r="J22" s="35">
        <f>-H23+H21</f>
        <v>4</v>
      </c>
      <c r="K22" s="36">
        <f>+K20</f>
        <v>50</v>
      </c>
      <c r="L22" s="36">
        <f>(E22/K22)*60</f>
        <v>6.2400000000000544</v>
      </c>
      <c r="M22" s="37">
        <f>+I22/K22*60</f>
        <v>4.8</v>
      </c>
      <c r="N22" s="37">
        <f>+J22/K22*60</f>
        <v>4.8</v>
      </c>
      <c r="O22" s="37">
        <f>+N22+M22</f>
        <v>9.6</v>
      </c>
      <c r="P22" s="37">
        <f>+(I22+J22)/(O22/60)</f>
        <v>50</v>
      </c>
      <c r="Q22" s="38">
        <f>+Q20</f>
        <v>0.2</v>
      </c>
      <c r="R22" s="37">
        <f>+P22-(P22*Q22)</f>
        <v>40</v>
      </c>
      <c r="S22" s="39">
        <f>+(I22+J22)/R22</f>
        <v>0.2</v>
      </c>
      <c r="T22" s="36">
        <f>+(2*($C$5-$C$6)/(S22*60+$C$8))*$C$9/100</f>
        <v>118.0235294117647</v>
      </c>
      <c r="U22" s="36">
        <f>+T22/2</f>
        <v>59.011764705882349</v>
      </c>
      <c r="V22" s="36">
        <f>+V20</f>
        <v>4</v>
      </c>
      <c r="W22" s="40">
        <f>+U22-V22</f>
        <v>55.011764705882349</v>
      </c>
      <c r="X22" s="33"/>
    </row>
    <row r="23" spans="1:24" ht="15.75">
      <c r="A23" s="41" t="s">
        <v>50</v>
      </c>
      <c r="B23" s="30">
        <f>960-0.6</f>
        <v>959.4</v>
      </c>
      <c r="C23" s="30">
        <f>960+0.6</f>
        <v>960.6</v>
      </c>
      <c r="D23" s="32">
        <f>((C23-B23)/2)+B23</f>
        <v>960</v>
      </c>
      <c r="E23" s="32"/>
      <c r="F23" s="42">
        <f>+(C23-B23)*1000</f>
        <v>1200.0000000000455</v>
      </c>
      <c r="G23" s="35">
        <f>+B23+([4]Premissas!$C$109/1000+[4]Premissas!$C$110/1000/2)</f>
        <v>959.50567000000001</v>
      </c>
      <c r="H23" s="35">
        <f>+C23-([4]Premissas!$C$109/1000+[4]Premissas!$C$110/1000/2)</f>
        <v>960.49432999999999</v>
      </c>
      <c r="I23" s="34"/>
      <c r="J23" s="34"/>
      <c r="K23" s="36"/>
      <c r="L23" s="36"/>
      <c r="M23" s="34"/>
      <c r="N23" s="34"/>
      <c r="O23" s="34"/>
      <c r="P23" s="37"/>
      <c r="Q23" s="38"/>
      <c r="R23" s="37"/>
      <c r="S23" s="39"/>
      <c r="T23" s="36"/>
      <c r="U23" s="36"/>
      <c r="V23" s="36"/>
      <c r="W23" s="40"/>
      <c r="X23" s="34"/>
    </row>
    <row r="24" spans="1:24" ht="15.75">
      <c r="A24" s="29"/>
      <c r="B24" s="30"/>
      <c r="C24" s="31"/>
      <c r="D24" s="32"/>
      <c r="E24" s="32">
        <f>C23-B25</f>
        <v>17.200000000000045</v>
      </c>
      <c r="F24" s="33"/>
      <c r="G24" s="34"/>
      <c r="H24" s="34"/>
      <c r="I24" s="35">
        <f>-G25+G23</f>
        <v>16</v>
      </c>
      <c r="J24" s="35">
        <f>-H25+H23</f>
        <v>16</v>
      </c>
      <c r="K24" s="36">
        <f>+K22</f>
        <v>50</v>
      </c>
      <c r="L24" s="36">
        <f>(E24/K24)*60</f>
        <v>20.640000000000054</v>
      </c>
      <c r="M24" s="37">
        <f>+I24/K24*60</f>
        <v>19.2</v>
      </c>
      <c r="N24" s="37">
        <f>+J24/K24*60</f>
        <v>19.2</v>
      </c>
      <c r="O24" s="37">
        <f>+N24+M24</f>
        <v>38.4</v>
      </c>
      <c r="P24" s="37">
        <f>+(I24+J24)/(O24/60)</f>
        <v>50</v>
      </c>
      <c r="Q24" s="38">
        <f>+Q22</f>
        <v>0.2</v>
      </c>
      <c r="R24" s="37">
        <f>+P24-(P24*Q24)</f>
        <v>40</v>
      </c>
      <c r="S24" s="39">
        <f>+(I24+J24)/R24</f>
        <v>0.8</v>
      </c>
      <c r="T24" s="36">
        <f>+(2*($C$5-$C$6)/(S24*60+$C$8))*$C$9/100</f>
        <v>37.856603773584908</v>
      </c>
      <c r="U24" s="36">
        <f>+T24/2</f>
        <v>18.928301886792454</v>
      </c>
      <c r="V24" s="36">
        <f>+V22</f>
        <v>4</v>
      </c>
      <c r="W24" s="40">
        <f>+U24-V24</f>
        <v>14.928301886792454</v>
      </c>
      <c r="X24" s="33"/>
    </row>
    <row r="25" spans="1:24" ht="15.75">
      <c r="A25" s="41" t="s">
        <v>139</v>
      </c>
      <c r="B25" s="30">
        <f>944-0.6</f>
        <v>943.4</v>
      </c>
      <c r="C25" s="30">
        <f>944+0.6</f>
        <v>944.6</v>
      </c>
      <c r="D25" s="32">
        <f>((C25-B25)/2)+B25</f>
        <v>944</v>
      </c>
      <c r="E25" s="32"/>
      <c r="F25" s="42">
        <f>+(C25-B25)*1000</f>
        <v>1200.0000000000455</v>
      </c>
      <c r="G25" s="35">
        <f>+B25+([4]Premissas!$C$109/1000+[4]Premissas!$C$110/1000/2)</f>
        <v>943.50567000000001</v>
      </c>
      <c r="H25" s="35">
        <f>+C25-([4]Premissas!$C$109/1000+[4]Premissas!$C$110/1000/2)</f>
        <v>944.49432999999999</v>
      </c>
      <c r="I25" s="34"/>
      <c r="J25" s="34"/>
      <c r="K25" s="36"/>
      <c r="L25" s="36"/>
      <c r="M25" s="34"/>
      <c r="N25" s="34"/>
      <c r="O25" s="34"/>
      <c r="P25" s="37"/>
      <c r="Q25" s="38"/>
      <c r="R25" s="37"/>
      <c r="S25" s="39"/>
      <c r="T25" s="36"/>
      <c r="U25" s="36"/>
      <c r="V25" s="36"/>
      <c r="W25" s="40"/>
      <c r="X25" s="34"/>
    </row>
    <row r="26" spans="1:24" ht="15.75">
      <c r="A26" s="29"/>
      <c r="B26" s="30"/>
      <c r="C26" s="31"/>
      <c r="D26" s="32"/>
      <c r="E26" s="32">
        <f>C25-B27</f>
        <v>9.2000000000000455</v>
      </c>
      <c r="F26" s="33"/>
      <c r="G26" s="34"/>
      <c r="H26" s="34"/>
      <c r="I26" s="35">
        <f>-G27+G25</f>
        <v>8</v>
      </c>
      <c r="J26" s="35">
        <f>-H27+H25</f>
        <v>8</v>
      </c>
      <c r="K26" s="36">
        <f>+K24</f>
        <v>50</v>
      </c>
      <c r="L26" s="36">
        <f>(E26/K26)*60</f>
        <v>11.040000000000054</v>
      </c>
      <c r="M26" s="37">
        <f>+I26/K26*60</f>
        <v>9.6</v>
      </c>
      <c r="N26" s="37">
        <f>+J26/K26*60</f>
        <v>9.6</v>
      </c>
      <c r="O26" s="37">
        <f>+N26+M26</f>
        <v>19.2</v>
      </c>
      <c r="P26" s="37">
        <f>+(I26+J26)/(O26/60)</f>
        <v>50</v>
      </c>
      <c r="Q26" s="38">
        <f>+Q24</f>
        <v>0.2</v>
      </c>
      <c r="R26" s="37">
        <f>+P26-(P26*Q26)</f>
        <v>40</v>
      </c>
      <c r="S26" s="39">
        <f>+(I26+J26)/R26</f>
        <v>0.4</v>
      </c>
      <c r="T26" s="36">
        <f>+(2*($C$5-$C$6)/(S26*60+$C$8))*$C$9/100</f>
        <v>69.186206896551724</v>
      </c>
      <c r="U26" s="36">
        <f>+T26/2</f>
        <v>34.593103448275862</v>
      </c>
      <c r="V26" s="36">
        <f>+V24</f>
        <v>4</v>
      </c>
      <c r="W26" s="40">
        <f>+U26-V26</f>
        <v>30.593103448275862</v>
      </c>
      <c r="X26" s="33"/>
    </row>
    <row r="27" spans="1:24" ht="15.75">
      <c r="A27" s="41" t="s">
        <v>51</v>
      </c>
      <c r="B27" s="30">
        <f>936-0.6</f>
        <v>935.4</v>
      </c>
      <c r="C27" s="30">
        <f>936+0.6</f>
        <v>936.6</v>
      </c>
      <c r="D27" s="32">
        <f>((C27-B27)/2)+B27</f>
        <v>936</v>
      </c>
      <c r="E27" s="32"/>
      <c r="F27" s="42">
        <f>+(C27-B27)*1000</f>
        <v>1200.0000000000455</v>
      </c>
      <c r="G27" s="35">
        <f>+B27+([4]Premissas!$C$109/1000+[4]Premissas!$C$110/1000/2)</f>
        <v>935.50567000000001</v>
      </c>
      <c r="H27" s="35">
        <f>+C27-([4]Premissas!$C$109/1000+[4]Premissas!$C$110/1000/2)</f>
        <v>936.49432999999999</v>
      </c>
      <c r="I27" s="34"/>
      <c r="J27" s="34"/>
      <c r="K27" s="36"/>
      <c r="L27" s="36"/>
      <c r="M27" s="34"/>
      <c r="N27" s="34"/>
      <c r="O27" s="34"/>
      <c r="P27" s="37"/>
      <c r="Q27" s="38"/>
      <c r="R27" s="37"/>
      <c r="S27" s="39"/>
      <c r="T27" s="36"/>
      <c r="U27" s="36"/>
      <c r="V27" s="36"/>
      <c r="W27" s="40"/>
      <c r="X27" s="34"/>
    </row>
    <row r="28" spans="1:24" ht="15.75">
      <c r="A28" s="29"/>
      <c r="B28" s="30"/>
      <c r="C28" s="31"/>
      <c r="D28" s="32"/>
      <c r="E28" s="32">
        <f>C27-B29</f>
        <v>12.200000000000045</v>
      </c>
      <c r="F28" s="33"/>
      <c r="G28" s="34"/>
      <c r="H28" s="34"/>
      <c r="I28" s="35">
        <f>-G29+G27</f>
        <v>11</v>
      </c>
      <c r="J28" s="35">
        <f>-H29+H27</f>
        <v>11</v>
      </c>
      <c r="K28" s="36">
        <f>+K26</f>
        <v>50</v>
      </c>
      <c r="L28" s="36">
        <f>(E28/K28)*60</f>
        <v>14.640000000000054</v>
      </c>
      <c r="M28" s="37">
        <f>+I28/K28*60</f>
        <v>13.2</v>
      </c>
      <c r="N28" s="37">
        <f>+J28/K28*60</f>
        <v>13.2</v>
      </c>
      <c r="O28" s="37">
        <f>+N28+M28</f>
        <v>26.4</v>
      </c>
      <c r="P28" s="37">
        <f>+(I28+J28)/(O28/60)</f>
        <v>50</v>
      </c>
      <c r="Q28" s="38">
        <f>+Q26</f>
        <v>0.2</v>
      </c>
      <c r="R28" s="37">
        <f>+P28-(P28*Q28)</f>
        <v>40</v>
      </c>
      <c r="S28" s="39">
        <f>+(I28+J28)/R28</f>
        <v>0.55000000000000004</v>
      </c>
      <c r="T28" s="36">
        <f>+(2*($C$5-$C$6)/(S28*60+$C$8))*$C$9/100</f>
        <v>52.8</v>
      </c>
      <c r="U28" s="36">
        <f>+T28/2</f>
        <v>26.4</v>
      </c>
      <c r="V28" s="36">
        <f>+V26</f>
        <v>4</v>
      </c>
      <c r="W28" s="40">
        <f>+U28-V28</f>
        <v>22.4</v>
      </c>
      <c r="X28" s="33"/>
    </row>
    <row r="29" spans="1:24" ht="15.75">
      <c r="A29" s="41" t="s">
        <v>52</v>
      </c>
      <c r="B29" s="30">
        <f>925-0.6</f>
        <v>924.4</v>
      </c>
      <c r="C29" s="30">
        <f>925+0.6</f>
        <v>925.6</v>
      </c>
      <c r="D29" s="32">
        <f>((C29-B29)/2)+B29</f>
        <v>925</v>
      </c>
      <c r="E29" s="32"/>
      <c r="F29" s="42">
        <f>+(C29-B29)*1000</f>
        <v>1200.0000000000455</v>
      </c>
      <c r="G29" s="35">
        <f>+B29+([4]Premissas!$C$109/1000+[4]Premissas!$C$110/1000/2)</f>
        <v>924.50567000000001</v>
      </c>
      <c r="H29" s="35">
        <f>+C29-([4]Premissas!$C$109/1000+[4]Premissas!$C$110/1000/2)</f>
        <v>925.49432999999999</v>
      </c>
      <c r="I29" s="34"/>
      <c r="J29" s="34"/>
      <c r="K29" s="36"/>
      <c r="L29" s="36"/>
      <c r="M29" s="34"/>
      <c r="N29" s="34"/>
      <c r="O29" s="34"/>
      <c r="P29" s="37"/>
      <c r="Q29" s="38"/>
      <c r="R29" s="37"/>
      <c r="S29" s="34"/>
      <c r="T29" s="36"/>
      <c r="U29" s="36"/>
      <c r="V29" s="36"/>
      <c r="W29" s="40"/>
      <c r="X29" s="34"/>
    </row>
    <row r="30" spans="1:24" ht="15.75">
      <c r="A30" s="29"/>
      <c r="B30" s="30"/>
      <c r="C30" s="31"/>
      <c r="D30" s="32"/>
      <c r="E30" s="32">
        <f>C29-B31</f>
        <v>9.4000000000000909</v>
      </c>
      <c r="F30" s="33"/>
      <c r="G30" s="34"/>
      <c r="H30" s="34"/>
      <c r="I30" s="35">
        <f>-G31+G29</f>
        <v>8.2000000000000455</v>
      </c>
      <c r="J30" s="35">
        <f>-H31+H29</f>
        <v>8.2000000000000455</v>
      </c>
      <c r="K30" s="36">
        <f>+K28</f>
        <v>50</v>
      </c>
      <c r="L30" s="36">
        <f>(E30/K30)*60</f>
        <v>11.280000000000109</v>
      </c>
      <c r="M30" s="37">
        <f>+I30/K30*60</f>
        <v>9.8400000000000549</v>
      </c>
      <c r="N30" s="37">
        <f>+J30/K30*60</f>
        <v>9.8400000000000549</v>
      </c>
      <c r="O30" s="37">
        <f>+N30+M30</f>
        <v>19.68000000000011</v>
      </c>
      <c r="P30" s="37">
        <f>+(I30+J30)/(O30/60)</f>
        <v>49.999999999999993</v>
      </c>
      <c r="Q30" s="38">
        <f>+Q28</f>
        <v>0.2</v>
      </c>
      <c r="R30" s="37">
        <f>+P30-(P30*Q30)</f>
        <v>39.999999999999993</v>
      </c>
      <c r="S30" s="39">
        <f>+(I30+J30)/R30</f>
        <v>0.41000000000000236</v>
      </c>
      <c r="T30" s="36">
        <f>+(2*($C$5-$C$6)/(S30*60+$C$8))*$C$9/100</f>
        <v>67.783783783783463</v>
      </c>
      <c r="U30" s="36">
        <f>+T30/2</f>
        <v>33.891891891891731</v>
      </c>
      <c r="V30" s="36">
        <f>+V28</f>
        <v>4</v>
      </c>
      <c r="W30" s="40">
        <f>+U30-V30</f>
        <v>29.891891891891731</v>
      </c>
      <c r="X30" s="33"/>
    </row>
    <row r="31" spans="1:24" ht="15.75">
      <c r="A31" s="41" t="s">
        <v>53</v>
      </c>
      <c r="B31" s="30">
        <f>916.8-0.6</f>
        <v>916.19999999999993</v>
      </c>
      <c r="C31" s="30">
        <f>916.8+0.6</f>
        <v>917.4</v>
      </c>
      <c r="D31" s="32">
        <f>((C31-B31)/2)+B31</f>
        <v>916.8</v>
      </c>
      <c r="E31" s="32"/>
      <c r="F31" s="42">
        <f>+(C31-B31)*1000</f>
        <v>1200.0000000000455</v>
      </c>
      <c r="G31" s="35">
        <f>+B31+([4]Premissas!$C$109/1000+[4]Premissas!$C$110/1000/2)</f>
        <v>916.30566999999996</v>
      </c>
      <c r="H31" s="35">
        <f>+C31-([4]Premissas!$C$109/1000+[4]Premissas!$C$110/1000/2)</f>
        <v>917.29432999999995</v>
      </c>
      <c r="I31" s="34"/>
      <c r="J31" s="34"/>
      <c r="K31" s="36"/>
      <c r="L31" s="36"/>
      <c r="M31" s="34"/>
      <c r="N31" s="34"/>
      <c r="O31" s="34"/>
      <c r="P31" s="37"/>
      <c r="Q31" s="34"/>
      <c r="R31" s="37"/>
      <c r="S31" s="34"/>
      <c r="T31" s="34"/>
      <c r="U31" s="34"/>
      <c r="V31" s="36"/>
      <c r="W31" s="40"/>
      <c r="X31" s="34"/>
    </row>
    <row r="32" spans="1:24" ht="15.75">
      <c r="A32" s="29"/>
      <c r="B32" s="30"/>
      <c r="C32" s="31"/>
      <c r="D32" s="32"/>
      <c r="E32" s="32">
        <f>C31-B33</f>
        <v>20.5</v>
      </c>
      <c r="F32" s="33"/>
      <c r="G32" s="34"/>
      <c r="H32" s="34"/>
      <c r="I32" s="35">
        <f>-G33+G31</f>
        <v>19.299999999999955</v>
      </c>
      <c r="J32" s="35">
        <f>-H33+H31</f>
        <v>19.299999999999955</v>
      </c>
      <c r="K32" s="36">
        <f>+K30</f>
        <v>50</v>
      </c>
      <c r="L32" s="36">
        <f>(E32/K32)*60</f>
        <v>24.599999999999998</v>
      </c>
      <c r="M32" s="37">
        <f>+I32/K32*60</f>
        <v>23.159999999999943</v>
      </c>
      <c r="N32" s="37">
        <f>+J32/K32*60</f>
        <v>23.159999999999943</v>
      </c>
      <c r="O32" s="37">
        <f>+N32+M32</f>
        <v>46.319999999999887</v>
      </c>
      <c r="P32" s="37">
        <f>+(I32+J32)/(O32/60)</f>
        <v>50</v>
      </c>
      <c r="Q32" s="38">
        <f>+Q30</f>
        <v>0.2</v>
      </c>
      <c r="R32" s="37">
        <f>+P32-(P32*Q32)</f>
        <v>40</v>
      </c>
      <c r="S32" s="39">
        <f>+(I32+J32)/R32</f>
        <v>0.96499999999999775</v>
      </c>
      <c r="T32" s="36">
        <f>+(2*($C$5-$C$6)/(S32*60+$C$8))*$C$9/100</f>
        <v>31.898251192368907</v>
      </c>
      <c r="U32" s="36">
        <f>+T32/2</f>
        <v>15.949125596184453</v>
      </c>
      <c r="V32" s="36">
        <f>+V30</f>
        <v>4</v>
      </c>
      <c r="W32" s="40">
        <f>+U32-V32</f>
        <v>11.949125596184453</v>
      </c>
      <c r="X32" s="40">
        <f>+W32</f>
        <v>11.949125596184453</v>
      </c>
    </row>
    <row r="33" spans="1:24" ht="15.75">
      <c r="A33" s="41" t="s">
        <v>54</v>
      </c>
      <c r="B33" s="30">
        <f>897.5-0.6</f>
        <v>896.9</v>
      </c>
      <c r="C33" s="30">
        <f>897.5+0.6</f>
        <v>898.1</v>
      </c>
      <c r="D33" s="32">
        <f>((C33-B33)/2)+B33</f>
        <v>897.5</v>
      </c>
      <c r="E33" s="32"/>
      <c r="F33" s="42">
        <f>+(C33-B33)*1000</f>
        <v>1200.0000000000455</v>
      </c>
      <c r="G33" s="35">
        <f>+B33+([4]Premissas!$C$109/1000+[4]Premissas!$C$110/1000/2)</f>
        <v>897.00567000000001</v>
      </c>
      <c r="H33" s="35">
        <f>+C33-([4]Premissas!$C$109/1000+[4]Premissas!$C$110/1000/2)</f>
        <v>897.99432999999999</v>
      </c>
      <c r="I33" s="35"/>
      <c r="J33" s="35"/>
      <c r="K33" s="36"/>
      <c r="L33" s="36"/>
      <c r="M33" s="34"/>
      <c r="N33" s="34"/>
      <c r="O33" s="34"/>
      <c r="P33" s="37"/>
      <c r="Q33" s="34"/>
      <c r="R33" s="37"/>
      <c r="S33" s="34"/>
      <c r="T33" s="34"/>
      <c r="U33" s="34"/>
      <c r="V33" s="34"/>
      <c r="W33" s="40"/>
      <c r="X33" s="34"/>
    </row>
    <row r="34" spans="1:24" ht="15.75">
      <c r="A34" s="29"/>
      <c r="B34" s="30"/>
      <c r="C34" s="31"/>
      <c r="D34" s="32"/>
      <c r="E34" s="32">
        <f>C33-B35</f>
        <v>14.300000000000068</v>
      </c>
      <c r="F34" s="33"/>
      <c r="G34" s="34"/>
      <c r="H34" s="34"/>
      <c r="I34" s="35">
        <f>-G35+G33</f>
        <v>13.100000000000023</v>
      </c>
      <c r="J34" s="35">
        <f>-H35+H33</f>
        <v>13.100000000000023</v>
      </c>
      <c r="K34" s="36">
        <f>+K32</f>
        <v>50</v>
      </c>
      <c r="L34" s="36">
        <f>(E34/K34)*60</f>
        <v>17.160000000000082</v>
      </c>
      <c r="M34" s="37">
        <f>+I34/K34*60</f>
        <v>15.720000000000027</v>
      </c>
      <c r="N34" s="37">
        <f>+J34/K34*60</f>
        <v>15.720000000000027</v>
      </c>
      <c r="O34" s="37">
        <f>+N34+M34</f>
        <v>31.440000000000055</v>
      </c>
      <c r="P34" s="37">
        <f>+(I34+J34)/(O34/60)</f>
        <v>50</v>
      </c>
      <c r="Q34" s="38">
        <f>+Q32</f>
        <v>0.2</v>
      </c>
      <c r="R34" s="37">
        <f>+P34-(P34*Q34)</f>
        <v>40</v>
      </c>
      <c r="S34" s="39">
        <f>+(I34+J34)/R34</f>
        <v>0.65500000000000114</v>
      </c>
      <c r="T34" s="36">
        <f>+(2*($C$5-$C$6)/(S34*60+$C$8))*$C$9/100</f>
        <v>45.291196388261781</v>
      </c>
      <c r="U34" s="36">
        <f>+T34/2</f>
        <v>22.645598194130891</v>
      </c>
      <c r="V34" s="36">
        <f>+V32</f>
        <v>4</v>
      </c>
      <c r="W34" s="40">
        <f>+U34-V34</f>
        <v>18.645598194130891</v>
      </c>
      <c r="X34" s="33"/>
    </row>
    <row r="35" spans="1:24" ht="15.75">
      <c r="A35" s="41" t="s">
        <v>55</v>
      </c>
      <c r="B35" s="30">
        <f>884.4-0.6</f>
        <v>883.8</v>
      </c>
      <c r="C35" s="30">
        <f>884.4+0.6</f>
        <v>885</v>
      </c>
      <c r="D35" s="32">
        <f>((C35-B35)/2)+B35</f>
        <v>884.4</v>
      </c>
      <c r="E35" s="32"/>
      <c r="F35" s="42">
        <f>+(C35-B35)*1000</f>
        <v>1200.0000000000455</v>
      </c>
      <c r="G35" s="35">
        <f>+B35+([4]Premissas!$C$109/1000+[4]Premissas!$C$110/1000/2)</f>
        <v>883.90566999999999</v>
      </c>
      <c r="H35" s="35">
        <f>+C35-([4]Premissas!$C$109/1000+[4]Premissas!$C$110/1000/2)</f>
        <v>884.89432999999997</v>
      </c>
      <c r="I35" s="34"/>
      <c r="J35" s="34"/>
      <c r="K35" s="36"/>
      <c r="L35" s="36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40"/>
      <c r="X35" s="34"/>
    </row>
    <row r="36" spans="1:24" ht="15.75">
      <c r="A36" s="29"/>
      <c r="B36" s="30"/>
      <c r="C36" s="31"/>
      <c r="D36" s="32"/>
      <c r="E36" s="32">
        <f>C35-B37</f>
        <v>8.6000000000000227</v>
      </c>
      <c r="F36" s="33"/>
      <c r="G36" s="34"/>
      <c r="H36" s="34"/>
      <c r="I36" s="35">
        <f>-G37+G35</f>
        <v>7.3999999999999773</v>
      </c>
      <c r="J36" s="35">
        <f>-H37+H35</f>
        <v>7.3999999999999773</v>
      </c>
      <c r="K36" s="36">
        <f>+K34</f>
        <v>50</v>
      </c>
      <c r="L36" s="36">
        <f>(E36/K36)*60</f>
        <v>10.320000000000027</v>
      </c>
      <c r="M36" s="37">
        <f>+I36/K36*60</f>
        <v>8.8799999999999724</v>
      </c>
      <c r="N36" s="37">
        <f>+J36/K36*60</f>
        <v>8.8799999999999724</v>
      </c>
      <c r="O36" s="37">
        <f>+N36+M36</f>
        <v>17.759999999999945</v>
      </c>
      <c r="P36" s="37">
        <f>+(I36+J36)/(O36/60)</f>
        <v>50</v>
      </c>
      <c r="Q36" s="38">
        <f>+Q34</f>
        <v>0.2</v>
      </c>
      <c r="R36" s="37">
        <f>+P36-(P36*Q36)</f>
        <v>40</v>
      </c>
      <c r="S36" s="39">
        <f>+(I36+J36)/R36</f>
        <v>0.36999999999999889</v>
      </c>
      <c r="T36" s="36">
        <f>+(2*($C$5-$C$6)/(S36*60+$C$8))*$C$9/100</f>
        <v>73.764705882353127</v>
      </c>
      <c r="U36" s="36">
        <f>+T36/2</f>
        <v>36.882352941176563</v>
      </c>
      <c r="V36" s="36">
        <f>+V34</f>
        <v>4</v>
      </c>
      <c r="W36" s="40">
        <f>+U36-V36</f>
        <v>32.882352941176563</v>
      </c>
      <c r="X36" s="33"/>
    </row>
    <row r="37" spans="1:24" ht="15.75">
      <c r="A37" s="41" t="s">
        <v>56</v>
      </c>
      <c r="B37" s="30">
        <f>877-0.6</f>
        <v>876.4</v>
      </c>
      <c r="C37" s="30">
        <f>877+0.6</f>
        <v>877.6</v>
      </c>
      <c r="D37" s="32">
        <f>((C37-B37)/2)+B37</f>
        <v>877</v>
      </c>
      <c r="E37" s="32"/>
      <c r="F37" s="42">
        <f>+(C37-B37)*1000</f>
        <v>1200.0000000000455</v>
      </c>
      <c r="G37" s="35">
        <f>+B37+([4]Premissas!$C$109/1000+[4]Premissas!$C$110/1000/2)</f>
        <v>876.50567000000001</v>
      </c>
      <c r="H37" s="35">
        <f>+C37-([4]Premissas!$C$109/1000+[4]Premissas!$C$110/1000/2)</f>
        <v>877.49432999999999</v>
      </c>
      <c r="I37" s="35"/>
      <c r="J37" s="35"/>
      <c r="K37" s="36"/>
      <c r="L37" s="36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40"/>
      <c r="X37" s="34"/>
    </row>
    <row r="38" spans="1:24" ht="15.75">
      <c r="A38" s="29"/>
      <c r="B38" s="30"/>
      <c r="C38" s="31"/>
      <c r="D38" s="32"/>
      <c r="E38" s="32">
        <f>C37-B39</f>
        <v>11.400000000000091</v>
      </c>
      <c r="F38" s="33"/>
      <c r="G38" s="34"/>
      <c r="H38" s="34"/>
      <c r="I38" s="35">
        <f>-G39+G37</f>
        <v>10.200000000000045</v>
      </c>
      <c r="J38" s="35">
        <f>-H39+H37</f>
        <v>10.200000000000045</v>
      </c>
      <c r="K38" s="36">
        <f>+K36</f>
        <v>50</v>
      </c>
      <c r="L38" s="36">
        <f>(E38/K38)*60</f>
        <v>13.680000000000108</v>
      </c>
      <c r="M38" s="37">
        <f>+I38/K38*60</f>
        <v>12.240000000000054</v>
      </c>
      <c r="N38" s="37">
        <f>+J38/K38*60</f>
        <v>12.240000000000054</v>
      </c>
      <c r="O38" s="37">
        <f>+N38+M38</f>
        <v>24.480000000000107</v>
      </c>
      <c r="P38" s="37">
        <f>+(I38+J38)/(O38/60)</f>
        <v>50</v>
      </c>
      <c r="Q38" s="38">
        <f>+Q36</f>
        <v>0.2</v>
      </c>
      <c r="R38" s="37">
        <f>+P38-(P38*Q38)</f>
        <v>40</v>
      </c>
      <c r="S38" s="39">
        <f>+(I38+J38)/R38</f>
        <v>0.51000000000000223</v>
      </c>
      <c r="T38" s="36">
        <f>+(2*($C$5-$C$6)/(S38*60+$C$8))*$C$9/100</f>
        <v>56.359550561797541</v>
      </c>
      <c r="U38" s="36">
        <f>+T38/2</f>
        <v>28.17977528089877</v>
      </c>
      <c r="V38" s="36">
        <f>+V36</f>
        <v>4</v>
      </c>
      <c r="W38" s="40">
        <f>+U38-V38</f>
        <v>24.17977528089877</v>
      </c>
      <c r="X38" s="33"/>
    </row>
    <row r="39" spans="1:24" ht="15.75">
      <c r="A39" s="41" t="s">
        <v>57</v>
      </c>
      <c r="B39" s="30">
        <f>866.8-0.6</f>
        <v>866.19999999999993</v>
      </c>
      <c r="C39" s="30">
        <f>866.8+0.6</f>
        <v>867.4</v>
      </c>
      <c r="D39" s="32">
        <f>((C39-B39)/2)+B39</f>
        <v>866.8</v>
      </c>
      <c r="E39" s="32"/>
      <c r="F39" s="42">
        <f>+(C39-B39)*1000</f>
        <v>1200.0000000000455</v>
      </c>
      <c r="G39" s="35">
        <f>+B39+([4]Premissas!$C$109/1000+[4]Premissas!$C$110/1000/2)</f>
        <v>866.30566999999996</v>
      </c>
      <c r="H39" s="35">
        <f>+C39-([4]Premissas!$C$109/1000+[4]Premissas!$C$110/1000/2)</f>
        <v>867.29432999999995</v>
      </c>
      <c r="I39" s="34"/>
      <c r="J39" s="34"/>
      <c r="K39" s="36"/>
      <c r="L39" s="36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40"/>
      <c r="X39" s="34"/>
    </row>
    <row r="40" spans="1:24" ht="15.75">
      <c r="A40" s="29"/>
      <c r="B40" s="30"/>
      <c r="C40" s="31"/>
      <c r="D40" s="32"/>
      <c r="E40" s="32">
        <f>C39-B41</f>
        <v>13.200000000000045</v>
      </c>
      <c r="F40" s="33"/>
      <c r="G40" s="34"/>
      <c r="H40" s="34"/>
      <c r="I40" s="35">
        <f>-G41+G39</f>
        <v>12</v>
      </c>
      <c r="J40" s="35">
        <f>-H41+H39</f>
        <v>12</v>
      </c>
      <c r="K40" s="36">
        <f>+K38</f>
        <v>50</v>
      </c>
      <c r="L40" s="36">
        <f>(E40/K40)*60</f>
        <v>15.840000000000053</v>
      </c>
      <c r="M40" s="37">
        <f>+I40/K40*60</f>
        <v>14.399999999999999</v>
      </c>
      <c r="N40" s="37">
        <f>+J40/K40*60</f>
        <v>14.399999999999999</v>
      </c>
      <c r="O40" s="37">
        <f>+N40+M40</f>
        <v>28.799999999999997</v>
      </c>
      <c r="P40" s="37">
        <f>+(I40+J40)/(O40/60)</f>
        <v>50.000000000000007</v>
      </c>
      <c r="Q40" s="38">
        <f>+Q38</f>
        <v>0.2</v>
      </c>
      <c r="R40" s="37">
        <f>+P40-(P40*Q40)</f>
        <v>40.000000000000007</v>
      </c>
      <c r="S40" s="39">
        <f>+(I40+J40)/R40</f>
        <v>0.59999999999999987</v>
      </c>
      <c r="T40" s="36">
        <f>+(2*($C$5-$C$6)/(S40*60+$C$8))*$C$9/100</f>
        <v>48.936585365853674</v>
      </c>
      <c r="U40" s="36">
        <f>+T40/2</f>
        <v>24.468292682926837</v>
      </c>
      <c r="V40" s="36">
        <f>+V38</f>
        <v>4</v>
      </c>
      <c r="W40" s="40">
        <f>+U40-V40</f>
        <v>20.468292682926837</v>
      </c>
      <c r="X40" s="33"/>
    </row>
    <row r="41" spans="1:24" ht="15.75">
      <c r="A41" s="41" t="s">
        <v>58</v>
      </c>
      <c r="B41" s="30">
        <f>854.8-0.6</f>
        <v>854.19999999999993</v>
      </c>
      <c r="C41" s="30">
        <f>854.8+0.6</f>
        <v>855.4</v>
      </c>
      <c r="D41" s="32">
        <f>((C41-B41)/2)+B41</f>
        <v>854.8</v>
      </c>
      <c r="E41" s="32"/>
      <c r="F41" s="42">
        <f>+(C41-B41)*1000</f>
        <v>1200.0000000000455</v>
      </c>
      <c r="G41" s="35">
        <f>+B41+([4]Premissas!$C$109/1000+[4]Premissas!$C$110/1000/2)</f>
        <v>854.30566999999996</v>
      </c>
      <c r="H41" s="35">
        <f>+C41-([4]Premissas!$C$109/1000+[4]Premissas!$C$110/1000/2)</f>
        <v>855.29432999999995</v>
      </c>
      <c r="I41" s="34"/>
      <c r="J41" s="34"/>
      <c r="K41" s="36"/>
      <c r="L41" s="36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40"/>
      <c r="X41" s="34"/>
    </row>
    <row r="42" spans="1:24" ht="15.75">
      <c r="A42" s="29"/>
      <c r="B42" s="30"/>
      <c r="C42" s="31"/>
      <c r="D42" s="32"/>
      <c r="E42" s="32">
        <f>C41-B43</f>
        <v>9.6000000000000227</v>
      </c>
      <c r="F42" s="33"/>
      <c r="G42" s="34"/>
      <c r="H42" s="34"/>
      <c r="I42" s="35">
        <f>-G43+G41</f>
        <v>8.3999999999999773</v>
      </c>
      <c r="J42" s="35">
        <f>-H43+H41</f>
        <v>8.3999999999999773</v>
      </c>
      <c r="K42" s="36">
        <f>+K40</f>
        <v>50</v>
      </c>
      <c r="L42" s="36">
        <f>(E42/K42)*60</f>
        <v>11.520000000000026</v>
      </c>
      <c r="M42" s="37">
        <f>+I42/K42*60</f>
        <v>10.079999999999972</v>
      </c>
      <c r="N42" s="37">
        <f>+J42/K42*60</f>
        <v>10.079999999999972</v>
      </c>
      <c r="O42" s="37">
        <f>+N42+M42</f>
        <v>20.159999999999943</v>
      </c>
      <c r="P42" s="37">
        <f>+(I42+J42)/(O42/60)</f>
        <v>50</v>
      </c>
      <c r="Q42" s="38">
        <f>+Q40</f>
        <v>0.2</v>
      </c>
      <c r="R42" s="37">
        <f>+P42-(P42*Q42)</f>
        <v>40</v>
      </c>
      <c r="S42" s="39">
        <f>+(I42+J42)/R42</f>
        <v>0.41999999999999887</v>
      </c>
      <c r="T42" s="36">
        <f>+(2*($C$5-$C$6)/(S42*60+$C$8))*$C$9/100</f>
        <v>66.437086092715376</v>
      </c>
      <c r="U42" s="36">
        <f>+T42/2</f>
        <v>33.218543046357688</v>
      </c>
      <c r="V42" s="36">
        <f>+V40</f>
        <v>4</v>
      </c>
      <c r="W42" s="40">
        <f>+U42-V42</f>
        <v>29.218543046357688</v>
      </c>
      <c r="X42" s="33"/>
    </row>
    <row r="43" spans="1:24" ht="15.75">
      <c r="A43" s="41" t="s">
        <v>59</v>
      </c>
      <c r="B43" s="30">
        <f>846.4-0.6</f>
        <v>845.8</v>
      </c>
      <c r="C43" s="30">
        <f>846.4+0.6</f>
        <v>847</v>
      </c>
      <c r="D43" s="32">
        <f>((C43-B43)/2)+B43</f>
        <v>846.4</v>
      </c>
      <c r="E43" s="32"/>
      <c r="F43" s="42">
        <f>+(C43-B43)*1000</f>
        <v>1200.0000000000455</v>
      </c>
      <c r="G43" s="35">
        <f>+B43+([4]Premissas!$C$109/1000+[4]Premissas!$C$110/1000/2)</f>
        <v>845.90566999999999</v>
      </c>
      <c r="H43" s="35">
        <f>+C43-([4]Premissas!$C$109/1000+[4]Premissas!$C$110/1000/2)</f>
        <v>846.89432999999997</v>
      </c>
      <c r="I43" s="34"/>
      <c r="J43" s="34"/>
      <c r="K43" s="36"/>
      <c r="L43" s="36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40"/>
      <c r="X43" s="34"/>
    </row>
    <row r="44" spans="1:24" ht="15.75">
      <c r="A44" s="29"/>
      <c r="B44" s="30"/>
      <c r="C44" s="31"/>
      <c r="D44" s="32"/>
      <c r="E44" s="32">
        <f>C43-B45</f>
        <v>21.200000000000045</v>
      </c>
      <c r="F44" s="33"/>
      <c r="G44" s="34"/>
      <c r="H44" s="34"/>
      <c r="I44" s="35">
        <f>-G45+G43</f>
        <v>20</v>
      </c>
      <c r="J44" s="35">
        <f>-H45+H43</f>
        <v>20</v>
      </c>
      <c r="K44" s="36">
        <f>+K42</f>
        <v>50</v>
      </c>
      <c r="L44" s="36">
        <f>(E44/K44)*60</f>
        <v>25.440000000000055</v>
      </c>
      <c r="M44" s="37">
        <f>+I44/K44*60</f>
        <v>24</v>
      </c>
      <c r="N44" s="37">
        <f>+J44/K44*60</f>
        <v>24</v>
      </c>
      <c r="O44" s="37">
        <f>+N44+M44</f>
        <v>48</v>
      </c>
      <c r="P44" s="37">
        <f>+(I44+J44)/(O44/60)</f>
        <v>50</v>
      </c>
      <c r="Q44" s="38">
        <f>+Q42</f>
        <v>0.2</v>
      </c>
      <c r="R44" s="37">
        <f>+P44-(P44*Q44)</f>
        <v>40</v>
      </c>
      <c r="S44" s="39">
        <f>+(I44+J44)/R44</f>
        <v>1</v>
      </c>
      <c r="T44" s="36">
        <f>+(2*($C$5-$C$6)/(S44*60+$C$8))*$C$9/100</f>
        <v>30.867692307692305</v>
      </c>
      <c r="U44" s="36">
        <f>+T44/2</f>
        <v>15.433846153846153</v>
      </c>
      <c r="V44" s="36">
        <f>+V42</f>
        <v>4</v>
      </c>
      <c r="W44" s="40">
        <f>+U44-V44</f>
        <v>11.433846153846153</v>
      </c>
      <c r="X44" s="33"/>
    </row>
    <row r="45" spans="1:24" ht="15.75">
      <c r="A45" s="41" t="s">
        <v>60</v>
      </c>
      <c r="B45" s="30">
        <f>826.4-0.6</f>
        <v>825.8</v>
      </c>
      <c r="C45" s="30">
        <f>826.4+0.6</f>
        <v>827</v>
      </c>
      <c r="D45" s="32">
        <f>((C45-B45)/2)+B45</f>
        <v>826.4</v>
      </c>
      <c r="E45" s="32"/>
      <c r="F45" s="42">
        <f>+(C45-B45)*1000</f>
        <v>1200.0000000000455</v>
      </c>
      <c r="G45" s="35">
        <f>+B45+([4]Premissas!$C$109/1000+[4]Premissas!$C$110/1000/2)</f>
        <v>825.90566999999999</v>
      </c>
      <c r="H45" s="35">
        <f>+C45-([4]Premissas!$C$109/1000+[4]Premissas!$C$110/1000/2)</f>
        <v>826.89432999999997</v>
      </c>
      <c r="I45" s="34"/>
      <c r="J45" s="34"/>
      <c r="K45" s="36"/>
      <c r="L45" s="36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40"/>
      <c r="X45" s="34"/>
    </row>
    <row r="46" spans="1:24" ht="15.75">
      <c r="A46" s="29"/>
      <c r="B46" s="30"/>
      <c r="C46" s="31"/>
      <c r="D46" s="32"/>
      <c r="E46" s="32">
        <f>C45-B47</f>
        <v>14.399999999999977</v>
      </c>
      <c r="F46" s="33"/>
      <c r="G46" s="34"/>
      <c r="H46" s="34"/>
      <c r="I46" s="35">
        <f>-G47+G45</f>
        <v>13.199999999999932</v>
      </c>
      <c r="J46" s="35">
        <f>-H47+H45</f>
        <v>13.199999999999932</v>
      </c>
      <c r="K46" s="36">
        <f>+K44</f>
        <v>50</v>
      </c>
      <c r="L46" s="36">
        <f>(E46/K46)*60</f>
        <v>17.279999999999973</v>
      </c>
      <c r="M46" s="37">
        <f>+I46/K46*60</f>
        <v>15.839999999999918</v>
      </c>
      <c r="N46" s="37">
        <f>+J46/K46*60</f>
        <v>15.839999999999918</v>
      </c>
      <c r="O46" s="37">
        <f>+N46+M46</f>
        <v>31.679999999999836</v>
      </c>
      <c r="P46" s="37">
        <f>+(I46+J46)/(O46/60)</f>
        <v>50</v>
      </c>
      <c r="Q46" s="38">
        <f>+Q44</f>
        <v>0.2</v>
      </c>
      <c r="R46" s="37">
        <f>+P46-(P46*Q46)</f>
        <v>40</v>
      </c>
      <c r="S46" s="39">
        <f>+(I46+J46)/R46</f>
        <v>0.65999999999999659</v>
      </c>
      <c r="T46" s="36">
        <f>+(2*($C$5-$C$6)/(S46*60+$C$8))*$C$9/100</f>
        <v>44.986547085201998</v>
      </c>
      <c r="U46" s="36">
        <f>+T46/2</f>
        <v>22.493273542600999</v>
      </c>
      <c r="V46" s="36">
        <f>+V44</f>
        <v>4</v>
      </c>
      <c r="W46" s="40">
        <f>+U46-V46</f>
        <v>18.493273542600999</v>
      </c>
      <c r="X46" s="33"/>
    </row>
    <row r="47" spans="1:24" ht="15.75">
      <c r="A47" s="29" t="s">
        <v>61</v>
      </c>
      <c r="B47" s="30">
        <f>813.2-0.6</f>
        <v>812.6</v>
      </c>
      <c r="C47" s="30">
        <f>813.2+0.6</f>
        <v>813.80000000000007</v>
      </c>
      <c r="D47" s="32">
        <f>((C47-B47)/2)+B47</f>
        <v>813.2</v>
      </c>
      <c r="E47" s="32"/>
      <c r="F47" s="42">
        <f>+(C47-B47)*1000</f>
        <v>1200.0000000000455</v>
      </c>
      <c r="G47" s="35">
        <f>+B47+([4]Premissas!$C$109/1000+[4]Premissas!$C$110/1000/2)</f>
        <v>812.70567000000005</v>
      </c>
      <c r="H47" s="35">
        <f>+C47-([4]Premissas!$C$109/1000+[4]Premissas!$C$110/1000/2)</f>
        <v>813.69433000000004</v>
      </c>
      <c r="I47" s="34"/>
      <c r="J47" s="34"/>
      <c r="K47" s="36"/>
      <c r="L47" s="36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</row>
    <row r="48" spans="1:24" ht="15.75">
      <c r="A48" s="29"/>
      <c r="B48" s="30"/>
      <c r="C48" s="30"/>
      <c r="D48" s="32"/>
      <c r="E48" s="32">
        <f>C47-B49</f>
        <v>20.100000000000136</v>
      </c>
      <c r="F48" s="42"/>
      <c r="G48" s="35"/>
      <c r="H48" s="35"/>
      <c r="I48" s="35">
        <f>-G49+G47</f>
        <v>18.900000000000091</v>
      </c>
      <c r="J48" s="35">
        <f>-H49+H47</f>
        <v>18.900000000000091</v>
      </c>
      <c r="K48" s="36">
        <f>+K46</f>
        <v>50</v>
      </c>
      <c r="L48" s="36">
        <f>(E48/K48)*60</f>
        <v>24.120000000000164</v>
      </c>
      <c r="M48" s="37">
        <f>+I48/K48*60</f>
        <v>22.68000000000011</v>
      </c>
      <c r="N48" s="37">
        <f>+J48/K48*60</f>
        <v>22.68000000000011</v>
      </c>
      <c r="O48" s="37">
        <f>+N48+M48</f>
        <v>45.36000000000022</v>
      </c>
      <c r="P48" s="37">
        <f>+(I48+J48)/(O48/60)</f>
        <v>50</v>
      </c>
      <c r="Q48" s="38">
        <f>+Q46</f>
        <v>0.2</v>
      </c>
      <c r="R48" s="37">
        <f>+P48-(P48*Q48)</f>
        <v>40</v>
      </c>
      <c r="S48" s="39">
        <f>+(I48+J48)/R48</f>
        <v>0.9450000000000045</v>
      </c>
      <c r="T48" s="36">
        <f>+(2*($C$5-$C$6)/(S48*60+$C$8))*$C$9/100</f>
        <v>32.518638573743779</v>
      </c>
      <c r="U48" s="36">
        <f>+T48/2</f>
        <v>16.259319286871889</v>
      </c>
      <c r="V48" s="36">
        <f>+V46</f>
        <v>4</v>
      </c>
      <c r="W48" s="40">
        <f>+U48-V48</f>
        <v>12.259319286871889</v>
      </c>
      <c r="X48" s="33"/>
    </row>
    <row r="49" spans="1:24" ht="15.75">
      <c r="A49" s="29" t="s">
        <v>62</v>
      </c>
      <c r="B49" s="30">
        <f>794.3-0.6</f>
        <v>793.69999999999993</v>
      </c>
      <c r="C49" s="30">
        <f>794.3+0.6</f>
        <v>794.9</v>
      </c>
      <c r="D49" s="32">
        <f>((C49-B49)/2)+B49</f>
        <v>794.3</v>
      </c>
      <c r="E49" s="32"/>
      <c r="F49" s="42">
        <f>+(C49-B49)*1000</f>
        <v>1200.0000000000455</v>
      </c>
      <c r="G49" s="35">
        <f>+B49+([4]Premissas!$C$109/1000+[4]Premissas!$C$110/1000/2)</f>
        <v>793.80566999999996</v>
      </c>
      <c r="H49" s="35">
        <f>+C49-([4]Premissas!$C$109/1000+[4]Premissas!$C$110/1000/2)</f>
        <v>794.79432999999995</v>
      </c>
      <c r="I49" s="34"/>
      <c r="J49" s="34"/>
      <c r="K49" s="36"/>
      <c r="L49" s="36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</row>
    <row r="50" spans="1:24" ht="15.75">
      <c r="A50" s="29"/>
      <c r="B50" s="30"/>
      <c r="C50" s="30"/>
      <c r="D50" s="32"/>
      <c r="E50" s="32">
        <f>C49-B51</f>
        <v>13.600000000000023</v>
      </c>
      <c r="F50" s="42"/>
      <c r="G50" s="34"/>
      <c r="H50" s="34"/>
      <c r="I50" s="35">
        <f>-G51+G49</f>
        <v>12.399999999999977</v>
      </c>
      <c r="J50" s="35">
        <f>-H51+H49</f>
        <v>12.329999999999927</v>
      </c>
      <c r="K50" s="36">
        <f>+K48</f>
        <v>50</v>
      </c>
      <c r="L50" s="36">
        <f>(E50/K50)*60</f>
        <v>16.320000000000029</v>
      </c>
      <c r="M50" s="37">
        <f>+I50/K50*60</f>
        <v>14.879999999999974</v>
      </c>
      <c r="N50" s="37">
        <f>+J50/K50*60</f>
        <v>14.795999999999912</v>
      </c>
      <c r="O50" s="37">
        <f>+N50+M50</f>
        <v>29.675999999999888</v>
      </c>
      <c r="P50" s="37">
        <f>+(I50+J50)/(O50/60)</f>
        <v>49.999999999999993</v>
      </c>
      <c r="Q50" s="38">
        <f>+Q48</f>
        <v>0.2</v>
      </c>
      <c r="R50" s="37">
        <f>+P50-(P50*Q50)</f>
        <v>39.999999999999993</v>
      </c>
      <c r="S50" s="39">
        <f>+(I50+J50)/R50</f>
        <v>0.61824999999999775</v>
      </c>
      <c r="T50" s="36">
        <f>+(2*($C$5-$C$6)/(S50*60+$C$8))*$C$9/100</f>
        <v>47.663618006889337</v>
      </c>
      <c r="U50" s="36">
        <f>+T50/2</f>
        <v>23.831809003444668</v>
      </c>
      <c r="V50" s="36">
        <f>+V48</f>
        <v>4</v>
      </c>
      <c r="W50" s="40">
        <f>+U50-V50</f>
        <v>19.831809003444668</v>
      </c>
      <c r="X50" s="34"/>
    </row>
    <row r="51" spans="1:24" ht="16.5" thickBot="1">
      <c r="A51" s="46" t="s">
        <v>63</v>
      </c>
      <c r="B51" s="47">
        <f>781.9-0.6</f>
        <v>781.3</v>
      </c>
      <c r="C51" s="47">
        <f>781.97+0.6</f>
        <v>782.57</v>
      </c>
      <c r="D51" s="48">
        <f>((C51-B51)/2)+B51</f>
        <v>781.93499999999995</v>
      </c>
      <c r="E51" s="48"/>
      <c r="F51" s="49">
        <f>+(C51-B51)*1000</f>
        <v>1270.0000000000955</v>
      </c>
      <c r="G51" s="50">
        <f>+B51+([4]Premissas!$C$109/1000+[4]Premissas!$C$110/1000/2)</f>
        <v>781.40566999999999</v>
      </c>
      <c r="H51" s="50">
        <f>+C51-([4]Premissas!$C$109/1000+[4]Premissas!$C$110/1000/2)</f>
        <v>782.46433000000002</v>
      </c>
      <c r="I51" s="51"/>
      <c r="J51" s="51"/>
      <c r="K51" s="52"/>
      <c r="L51" s="52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</row>
    <row r="52" spans="1:24" ht="15.75">
      <c r="A52" s="53">
        <v>19</v>
      </c>
      <c r="B52" s="54" t="s">
        <v>14</v>
      </c>
      <c r="C52" s="54"/>
      <c r="D52" s="55"/>
      <c r="E52" s="55"/>
      <c r="F52" s="56">
        <f>SUM(F15:F51)</f>
        <v>22870.000000000909</v>
      </c>
      <c r="G52" s="35"/>
      <c r="H52" s="35"/>
      <c r="I52" s="34"/>
      <c r="J52" s="34"/>
      <c r="K52" s="36"/>
      <c r="L52" s="36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</row>
    <row r="53" spans="1:24">
      <c r="A53" s="1"/>
      <c r="B53" s="57"/>
      <c r="C53" s="57"/>
      <c r="D53" s="58"/>
      <c r="E53" s="58"/>
      <c r="F53" s="59"/>
      <c r="G53" s="60"/>
      <c r="H53" s="60"/>
      <c r="I53" s="61"/>
      <c r="J53" s="61"/>
      <c r="K53" s="62"/>
      <c r="L53" s="62"/>
      <c r="M53" s="61"/>
      <c r="N53" s="61"/>
      <c r="O53" s="61"/>
      <c r="P53" s="1" t="s">
        <v>64</v>
      </c>
      <c r="Q53" s="1"/>
      <c r="R53" s="1"/>
      <c r="S53" s="1"/>
      <c r="T53" s="1"/>
      <c r="U53" s="63">
        <f>U32</f>
        <v>15.949125596184453</v>
      </c>
      <c r="V53" s="2"/>
      <c r="W53" s="2"/>
    </row>
    <row r="54" spans="1:24">
      <c r="A54" s="1" t="s">
        <v>141</v>
      </c>
      <c r="B54" s="1"/>
      <c r="C54" s="1"/>
      <c r="D54" s="1"/>
      <c r="E54" s="4"/>
      <c r="F54" s="1"/>
      <c r="G54" s="1"/>
      <c r="H54" s="1"/>
      <c r="I54" s="1"/>
      <c r="J54" s="1"/>
      <c r="K54" s="1"/>
      <c r="L54" s="1"/>
      <c r="M54" s="1"/>
      <c r="N54" s="1"/>
      <c r="O54" s="1"/>
      <c r="P54" s="1" t="s">
        <v>65</v>
      </c>
      <c r="Q54" s="1"/>
      <c r="R54" s="1"/>
      <c r="S54" s="1"/>
      <c r="T54" s="1"/>
      <c r="U54" s="63">
        <f>W32</f>
        <v>11.949125596184453</v>
      </c>
      <c r="V54" s="65"/>
      <c r="W54" s="1"/>
    </row>
    <row r="55" spans="1:24">
      <c r="A55" s="1" t="s">
        <v>66</v>
      </c>
      <c r="B55" s="1"/>
      <c r="C55" s="1"/>
      <c r="D55" s="1"/>
      <c r="E55" s="4"/>
      <c r="F55" s="1"/>
      <c r="G55" s="1"/>
      <c r="H55" s="1"/>
      <c r="I55" s="1"/>
      <c r="J55" s="1"/>
      <c r="K55" s="1"/>
      <c r="L55" s="1"/>
      <c r="M55" s="1"/>
      <c r="N55" s="1"/>
      <c r="O55" s="1"/>
      <c r="P55" s="1" t="s">
        <v>67</v>
      </c>
      <c r="Q55" s="1"/>
      <c r="R55" s="1"/>
      <c r="S55" s="1"/>
      <c r="T55" s="1"/>
      <c r="U55" s="5">
        <f>+[4]Frotas!K149</f>
        <v>3218</v>
      </c>
      <c r="V55" s="1"/>
      <c r="W55" s="1"/>
    </row>
    <row r="56" spans="1:24">
      <c r="A56" s="110" t="s">
        <v>158</v>
      </c>
      <c r="B56" s="1"/>
      <c r="C56" s="1"/>
      <c r="D56" s="1"/>
      <c r="E56" s="4"/>
      <c r="F56" s="1"/>
      <c r="G56" s="1"/>
      <c r="H56" s="1"/>
      <c r="I56" s="1"/>
      <c r="J56" s="1"/>
      <c r="K56" s="1"/>
      <c r="L56" s="1"/>
      <c r="M56" s="1"/>
      <c r="N56" s="1"/>
      <c r="O56" s="1"/>
      <c r="P56" s="66" t="s">
        <v>68</v>
      </c>
      <c r="Q56" s="66"/>
      <c r="R56" s="66"/>
      <c r="S56" s="66"/>
      <c r="T56" s="66"/>
      <c r="U56" s="66">
        <f>+[4]Premissas!J124</f>
        <v>330</v>
      </c>
      <c r="V56" s="66"/>
      <c r="W56" s="66"/>
    </row>
    <row r="57" spans="1:24" ht="15.75">
      <c r="A57" s="67"/>
      <c r="B57" s="1"/>
      <c r="C57" s="1"/>
      <c r="D57" s="1"/>
      <c r="E57" s="4"/>
      <c r="F57" s="1"/>
      <c r="G57" s="1"/>
      <c r="H57" s="1"/>
      <c r="I57" s="1"/>
      <c r="J57" s="1"/>
      <c r="K57" s="1"/>
      <c r="L57" s="1"/>
      <c r="M57" s="1"/>
      <c r="N57" s="1"/>
      <c r="O57" s="1"/>
      <c r="P57" s="68" t="s">
        <v>69</v>
      </c>
      <c r="Q57" s="68"/>
      <c r="R57" s="68"/>
      <c r="S57" s="68"/>
      <c r="T57" s="68"/>
      <c r="U57" s="69">
        <f>+(U54*U55*U56)/1000000</f>
        <v>12.689254435612117</v>
      </c>
      <c r="V57" s="68"/>
      <c r="W57" s="68"/>
    </row>
    <row r="58" spans="1:24" ht="15.75">
      <c r="A58" s="67"/>
      <c r="B58" s="1"/>
      <c r="C58" s="1"/>
      <c r="D58" s="1"/>
      <c r="E58" s="4"/>
      <c r="F58" s="1"/>
      <c r="G58" s="1"/>
      <c r="H58" s="1"/>
      <c r="I58" s="1"/>
      <c r="J58" s="1"/>
      <c r="K58" s="1"/>
      <c r="L58" s="1"/>
      <c r="M58" s="1"/>
      <c r="N58" s="1"/>
      <c r="O58" s="1"/>
      <c r="P58" s="68" t="s">
        <v>69</v>
      </c>
      <c r="Q58" s="68"/>
      <c r="R58" s="68"/>
      <c r="T58" s="70">
        <f>+[4]Premissas!J117/100</f>
        <v>0.2</v>
      </c>
      <c r="U58" s="69">
        <f>+U57/(1+T58)</f>
        <v>10.574378696343432</v>
      </c>
      <c r="V58" s="68" t="s">
        <v>70</v>
      </c>
      <c r="W58" s="68"/>
    </row>
    <row r="59" spans="1:24" ht="15.75">
      <c r="A59" s="71"/>
      <c r="E59" s="72"/>
      <c r="Q59" s="73"/>
      <c r="R59" s="73"/>
      <c r="S59" s="73"/>
      <c r="T59" s="74"/>
      <c r="U59" s="75"/>
      <c r="V59" s="76"/>
      <c r="W59" s="73"/>
      <c r="X59" s="73"/>
    </row>
    <row r="60" spans="1:24" ht="15.75">
      <c r="A60" s="71"/>
      <c r="E60" s="72"/>
      <c r="Q60" s="73"/>
      <c r="R60" s="73"/>
      <c r="S60" s="73"/>
      <c r="T60" s="74"/>
      <c r="U60" s="75"/>
      <c r="V60" s="76"/>
      <c r="W60" s="73"/>
      <c r="X60" s="73"/>
    </row>
    <row r="61" spans="1:24" ht="15.75">
      <c r="A61" s="34"/>
      <c r="B61" s="109" t="s">
        <v>143</v>
      </c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77"/>
      <c r="R61" s="77"/>
      <c r="S61" s="77"/>
      <c r="T61" s="78"/>
      <c r="U61" s="77"/>
      <c r="V61" s="79"/>
      <c r="W61" s="77"/>
      <c r="X61" s="77"/>
    </row>
    <row r="62" spans="1:24" ht="15.75">
      <c r="A62" s="80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34"/>
      <c r="Q62" s="34"/>
      <c r="R62" s="34"/>
      <c r="S62" s="34"/>
      <c r="T62" s="34"/>
      <c r="U62" s="34"/>
      <c r="V62" s="34"/>
      <c r="W62" s="34"/>
      <c r="X62" s="34"/>
    </row>
    <row r="63" spans="1:24" ht="15.75">
      <c r="A63" s="80"/>
      <c r="B63" s="34" t="s">
        <v>0</v>
      </c>
      <c r="C63" s="81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61"/>
      <c r="O63" s="61"/>
      <c r="P63" s="34" t="s">
        <v>1</v>
      </c>
      <c r="Q63" s="34"/>
      <c r="R63" s="34"/>
      <c r="S63" s="34"/>
      <c r="T63" s="34"/>
      <c r="U63" s="34"/>
      <c r="V63" s="34"/>
      <c r="W63" s="61"/>
      <c r="X63" s="61"/>
    </row>
    <row r="64" spans="1:24" ht="15.75">
      <c r="A64" s="80"/>
      <c r="B64" s="81"/>
      <c r="C64" s="82">
        <v>1440</v>
      </c>
      <c r="D64" s="34" t="s">
        <v>2</v>
      </c>
      <c r="E64" s="34"/>
      <c r="F64" s="34"/>
      <c r="G64" s="34"/>
      <c r="H64" s="34"/>
      <c r="I64" s="34"/>
      <c r="J64" s="34"/>
      <c r="K64" s="34"/>
      <c r="L64" s="34"/>
      <c r="M64" s="34"/>
      <c r="N64" s="61"/>
      <c r="O64" s="61"/>
      <c r="P64" s="34" t="s">
        <v>145</v>
      </c>
      <c r="Q64" s="34"/>
      <c r="R64" s="34"/>
      <c r="S64" s="34"/>
      <c r="T64" s="34"/>
      <c r="U64" s="38">
        <f>+U5</f>
        <v>0.2</v>
      </c>
      <c r="V64" s="34"/>
      <c r="W64" s="61"/>
      <c r="X64" s="61"/>
    </row>
    <row r="65" spans="1:24" ht="15.75">
      <c r="A65" s="80"/>
      <c r="B65" s="83" t="s">
        <v>4</v>
      </c>
      <c r="C65" s="34">
        <f>+C6</f>
        <v>120</v>
      </c>
      <c r="D65" s="34" t="s">
        <v>5</v>
      </c>
      <c r="E65" s="34"/>
      <c r="F65" s="34"/>
      <c r="G65" s="34"/>
      <c r="H65" s="34"/>
      <c r="I65" s="34"/>
      <c r="J65" s="34"/>
      <c r="K65" s="34"/>
      <c r="L65" s="34"/>
      <c r="M65" s="34"/>
      <c r="N65" s="61"/>
      <c r="O65" s="61"/>
      <c r="P65" s="34" t="s">
        <v>6</v>
      </c>
      <c r="Q65" s="34"/>
      <c r="R65" s="34"/>
      <c r="S65" s="34"/>
      <c r="T65" s="34"/>
      <c r="U65" s="34">
        <f>+U6</f>
        <v>4</v>
      </c>
      <c r="V65" s="34"/>
      <c r="W65" s="61"/>
      <c r="X65" s="61"/>
    </row>
    <row r="66" spans="1:24" ht="15.75">
      <c r="A66" s="80"/>
      <c r="B66" s="81" t="s">
        <v>7</v>
      </c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61"/>
      <c r="O66" s="61"/>
      <c r="P66" s="34" t="s">
        <v>8</v>
      </c>
      <c r="Q66" s="34"/>
      <c r="R66" s="34"/>
      <c r="S66" s="34"/>
      <c r="T66" s="34"/>
      <c r="U66" s="82">
        <f>+U7</f>
        <v>955</v>
      </c>
      <c r="V66" s="34" t="s">
        <v>9</v>
      </c>
      <c r="W66" s="61"/>
      <c r="X66" s="61"/>
    </row>
    <row r="67" spans="1:24" ht="15.75">
      <c r="A67" s="80"/>
      <c r="B67" s="81" t="s">
        <v>10</v>
      </c>
      <c r="C67" s="34">
        <f>+C8</f>
        <v>5</v>
      </c>
      <c r="D67" s="34" t="s">
        <v>11</v>
      </c>
      <c r="E67" s="34"/>
      <c r="F67" s="34"/>
      <c r="G67" s="34"/>
      <c r="H67" s="34"/>
      <c r="I67" s="34"/>
      <c r="J67" s="34"/>
      <c r="K67" s="34"/>
      <c r="L67" s="34"/>
      <c r="M67" s="34"/>
      <c r="N67" s="61"/>
      <c r="O67" s="61"/>
      <c r="P67" s="34" t="s">
        <v>12</v>
      </c>
      <c r="Q67" s="34"/>
      <c r="R67" s="34"/>
      <c r="S67" s="34"/>
      <c r="T67" s="34"/>
      <c r="U67" s="82">
        <f>+U8</f>
        <v>1166.3399999999999</v>
      </c>
      <c r="V67" s="34" t="s">
        <v>9</v>
      </c>
      <c r="W67" s="61"/>
      <c r="X67" s="61"/>
    </row>
    <row r="68" spans="1:24" ht="15.75">
      <c r="A68" s="80"/>
      <c r="B68" s="81" t="s">
        <v>13</v>
      </c>
      <c r="C68" s="37">
        <f>+C9</f>
        <v>76</v>
      </c>
      <c r="D68" s="34" t="s">
        <v>144</v>
      </c>
      <c r="E68" s="34"/>
      <c r="F68" s="34"/>
      <c r="G68" s="34"/>
      <c r="H68" s="34"/>
      <c r="I68" s="34"/>
      <c r="J68" s="34"/>
      <c r="K68" s="34"/>
      <c r="L68" s="34"/>
      <c r="M68" s="34"/>
      <c r="N68" s="61"/>
      <c r="O68" s="61"/>
      <c r="P68" s="61"/>
      <c r="Q68" s="61"/>
      <c r="R68" s="61"/>
      <c r="S68" s="61"/>
      <c r="T68" s="61"/>
      <c r="U68" s="61"/>
      <c r="V68" s="34"/>
      <c r="W68" s="61"/>
      <c r="X68" s="61"/>
    </row>
    <row r="69" spans="1:24" ht="15.75" thickBot="1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</row>
    <row r="70" spans="1:24" ht="15.75">
      <c r="A70" s="118" t="s">
        <v>14</v>
      </c>
      <c r="B70" s="121" t="s">
        <v>15</v>
      </c>
      <c r="C70" s="121"/>
      <c r="D70" s="121"/>
      <c r="E70" s="121"/>
      <c r="F70" s="122" t="s">
        <v>16</v>
      </c>
      <c r="G70" s="121" t="s">
        <v>17</v>
      </c>
      <c r="H70" s="121"/>
      <c r="I70" s="121" t="s">
        <v>18</v>
      </c>
      <c r="J70" s="121"/>
      <c r="K70" s="122" t="s">
        <v>19</v>
      </c>
      <c r="L70" s="122" t="s">
        <v>20</v>
      </c>
      <c r="M70" s="125" t="s">
        <v>21</v>
      </c>
      <c r="N70" s="125"/>
      <c r="O70" s="125"/>
      <c r="P70" s="125"/>
      <c r="Q70" s="9" t="s">
        <v>22</v>
      </c>
      <c r="R70" s="134" t="s">
        <v>23</v>
      </c>
      <c r="S70" s="9" t="s">
        <v>24</v>
      </c>
      <c r="T70" s="136" t="s">
        <v>25</v>
      </c>
      <c r="U70" s="136"/>
      <c r="V70" s="136" t="s">
        <v>26</v>
      </c>
      <c r="W70" s="136"/>
      <c r="X70" s="111" t="s">
        <v>27</v>
      </c>
    </row>
    <row r="71" spans="1:24" ht="15.75">
      <c r="A71" s="119"/>
      <c r="B71" s="114" t="s">
        <v>136</v>
      </c>
      <c r="C71" s="114" t="s">
        <v>137</v>
      </c>
      <c r="D71" s="114" t="s">
        <v>28</v>
      </c>
      <c r="E71" s="116" t="s">
        <v>29</v>
      </c>
      <c r="F71" s="123"/>
      <c r="G71" s="114" t="s">
        <v>30</v>
      </c>
      <c r="H71" s="114" t="s">
        <v>31</v>
      </c>
      <c r="I71" s="114" t="s">
        <v>30</v>
      </c>
      <c r="J71" s="114" t="s">
        <v>31</v>
      </c>
      <c r="K71" s="123"/>
      <c r="L71" s="123"/>
      <c r="M71" s="10" t="s">
        <v>30</v>
      </c>
      <c r="N71" s="10" t="s">
        <v>31</v>
      </c>
      <c r="O71" s="126" t="s">
        <v>32</v>
      </c>
      <c r="P71" s="126"/>
      <c r="Q71" s="11" t="s">
        <v>33</v>
      </c>
      <c r="R71" s="132"/>
      <c r="S71" s="11" t="s">
        <v>34</v>
      </c>
      <c r="T71" s="127" t="s">
        <v>35</v>
      </c>
      <c r="U71" s="128" t="s">
        <v>36</v>
      </c>
      <c r="V71" s="131" t="s">
        <v>37</v>
      </c>
      <c r="W71" s="131" t="s">
        <v>38</v>
      </c>
      <c r="X71" s="112"/>
    </row>
    <row r="72" spans="1:24" ht="15.75">
      <c r="A72" s="119"/>
      <c r="B72" s="115"/>
      <c r="C72" s="115"/>
      <c r="D72" s="115"/>
      <c r="E72" s="117"/>
      <c r="F72" s="124"/>
      <c r="G72" s="115"/>
      <c r="H72" s="115"/>
      <c r="I72" s="115"/>
      <c r="J72" s="115"/>
      <c r="K72" s="124"/>
      <c r="L72" s="124"/>
      <c r="M72" s="10" t="s">
        <v>39</v>
      </c>
      <c r="N72" s="10" t="s">
        <v>40</v>
      </c>
      <c r="O72" s="12" t="s">
        <v>41</v>
      </c>
      <c r="P72" s="12" t="s">
        <v>41</v>
      </c>
      <c r="Q72" s="11" t="s">
        <v>142</v>
      </c>
      <c r="R72" s="135"/>
      <c r="S72" s="13" t="s">
        <v>42</v>
      </c>
      <c r="T72" s="112"/>
      <c r="U72" s="129"/>
      <c r="V72" s="132"/>
      <c r="W72" s="132"/>
      <c r="X72" s="112"/>
    </row>
    <row r="73" spans="1:24" ht="16.5" thickBot="1">
      <c r="A73" s="120"/>
      <c r="B73" s="14" t="s">
        <v>43</v>
      </c>
      <c r="C73" s="14" t="s">
        <v>43</v>
      </c>
      <c r="D73" s="15" t="s">
        <v>43</v>
      </c>
      <c r="E73" s="16" t="s">
        <v>43</v>
      </c>
      <c r="F73" s="15" t="s">
        <v>9</v>
      </c>
      <c r="G73" s="15" t="s">
        <v>43</v>
      </c>
      <c r="H73" s="15" t="s">
        <v>43</v>
      </c>
      <c r="I73" s="15" t="s">
        <v>43</v>
      </c>
      <c r="J73" s="15" t="s">
        <v>43</v>
      </c>
      <c r="K73" s="15" t="s">
        <v>44</v>
      </c>
      <c r="L73" s="15" t="s">
        <v>45</v>
      </c>
      <c r="M73" s="15" t="s">
        <v>45</v>
      </c>
      <c r="N73" s="15" t="s">
        <v>45</v>
      </c>
      <c r="O73" s="17" t="s">
        <v>45</v>
      </c>
      <c r="P73" s="17" t="s">
        <v>44</v>
      </c>
      <c r="Q73" s="17" t="s">
        <v>46</v>
      </c>
      <c r="R73" s="17" t="s">
        <v>44</v>
      </c>
      <c r="S73" s="17" t="s">
        <v>47</v>
      </c>
      <c r="T73" s="113"/>
      <c r="U73" s="130"/>
      <c r="V73" s="133"/>
      <c r="W73" s="133"/>
      <c r="X73" s="113"/>
    </row>
    <row r="74" spans="1:24" ht="15.75">
      <c r="A74" s="18" t="s">
        <v>63</v>
      </c>
      <c r="B74" s="23">
        <f>1473.9-0.6</f>
        <v>1473.3000000000002</v>
      </c>
      <c r="C74" s="23">
        <f>1473.9+0.6</f>
        <v>1474.5</v>
      </c>
      <c r="D74" s="23">
        <f>((C74-B74)/2)+B74</f>
        <v>1473.9</v>
      </c>
      <c r="E74" s="21"/>
      <c r="F74" s="22">
        <f>+(C74-B74)*1000</f>
        <v>1199.9999999998181</v>
      </c>
      <c r="G74" s="23">
        <f>+B74+([4]Premissas!$C$109/1000+[4]Premissas!$C$110/1000/2)</f>
        <v>1473.4056700000001</v>
      </c>
      <c r="H74" s="23">
        <f>+C74-([4]Premissas!$C$109/1000+[4]Premissas!$C$110/1000/2)</f>
        <v>1474.3943300000001</v>
      </c>
      <c r="I74" s="24"/>
      <c r="J74" s="24"/>
      <c r="K74" s="25"/>
      <c r="L74" s="25"/>
      <c r="M74" s="24"/>
      <c r="N74" s="24"/>
      <c r="O74" s="24"/>
      <c r="P74" s="26"/>
      <c r="Q74" s="27"/>
      <c r="R74" s="26"/>
      <c r="S74" s="28"/>
      <c r="T74" s="25"/>
      <c r="U74" s="25"/>
      <c r="V74" s="25"/>
      <c r="W74" s="84"/>
      <c r="X74" s="24"/>
    </row>
    <row r="75" spans="1:24" ht="15.75">
      <c r="A75" s="29"/>
      <c r="B75" s="34"/>
      <c r="C75" s="34"/>
      <c r="D75" s="34"/>
      <c r="E75" s="32">
        <f>C74-B76</f>
        <v>24.599999999999909</v>
      </c>
      <c r="F75" s="33"/>
      <c r="G75" s="34"/>
      <c r="H75" s="34"/>
      <c r="I75" s="35">
        <f>-G76+G74</f>
        <v>23.400000000000091</v>
      </c>
      <c r="J75" s="35">
        <f>-H76+H74</f>
        <v>23.400000000000091</v>
      </c>
      <c r="K75" s="36">
        <v>50</v>
      </c>
      <c r="L75" s="36">
        <f>(E75/K75)*60</f>
        <v>29.519999999999889</v>
      </c>
      <c r="M75" s="37">
        <f>+I75/K75*60</f>
        <v>28.080000000000108</v>
      </c>
      <c r="N75" s="37">
        <f>+J75/K75*60</f>
        <v>28.080000000000108</v>
      </c>
      <c r="O75" s="37">
        <f>+N75+M75</f>
        <v>56.160000000000217</v>
      </c>
      <c r="P75" s="37">
        <f>+(I75+J75)/(O75/60)</f>
        <v>50</v>
      </c>
      <c r="Q75" s="38">
        <f>U5</f>
        <v>0.2</v>
      </c>
      <c r="R75" s="37">
        <f>+P75-(P75*Q75)</f>
        <v>40</v>
      </c>
      <c r="S75" s="39">
        <f>+(I75+J75)/R75</f>
        <v>1.1700000000000046</v>
      </c>
      <c r="T75" s="36">
        <f>+(2*($C$5-$C$6)/(S75*60+$C$8))*$C$9/100</f>
        <v>26.680851063829685</v>
      </c>
      <c r="U75" s="36">
        <f>+T75/2</f>
        <v>13.340425531914843</v>
      </c>
      <c r="V75" s="36">
        <f>U6</f>
        <v>4</v>
      </c>
      <c r="W75" s="40">
        <f>+U75-V75</f>
        <v>9.3404255319148426</v>
      </c>
      <c r="X75" s="40"/>
    </row>
    <row r="76" spans="1:24" ht="15.75">
      <c r="A76" s="41" t="s">
        <v>156</v>
      </c>
      <c r="B76" s="35">
        <f>1450.5-0.6</f>
        <v>1449.9</v>
      </c>
      <c r="C76" s="35">
        <f>1450.5+0.6</f>
        <v>1451.1</v>
      </c>
      <c r="D76" s="35">
        <f>((C76-B76)/2)+B76</f>
        <v>1450.5</v>
      </c>
      <c r="E76" s="32"/>
      <c r="F76" s="42">
        <f>+(C76-B76)*1000</f>
        <v>1199.9999999998181</v>
      </c>
      <c r="G76" s="35">
        <f>+B76+([4]Premissas!$C$109/1000+[4]Premissas!$C$110/1000/2)</f>
        <v>1450.00567</v>
      </c>
      <c r="H76" s="35">
        <f>+C76-([4]Premissas!$C$109/1000+[4]Premissas!$C$110/1000/2)</f>
        <v>1450.99433</v>
      </c>
      <c r="I76" s="34"/>
      <c r="J76" s="34"/>
      <c r="K76" s="36"/>
      <c r="L76" s="36"/>
      <c r="M76" s="34"/>
      <c r="N76" s="34"/>
      <c r="O76" s="34"/>
      <c r="P76" s="37"/>
      <c r="Q76" s="38"/>
      <c r="R76" s="37"/>
      <c r="S76" s="39"/>
      <c r="T76" s="36"/>
      <c r="U76" s="36"/>
      <c r="V76" s="36"/>
      <c r="W76" s="40"/>
      <c r="X76" s="34"/>
    </row>
    <row r="77" spans="1:24" ht="15.75">
      <c r="A77" s="29"/>
      <c r="B77" s="34"/>
      <c r="C77" s="34"/>
      <c r="D77" s="34"/>
      <c r="E77" s="32">
        <f>C76-B78</f>
        <v>26.299999999999727</v>
      </c>
      <c r="F77" s="33"/>
      <c r="G77" s="34"/>
      <c r="H77" s="34"/>
      <c r="I77" s="35">
        <f>-G78+G76</f>
        <v>25.099999999999909</v>
      </c>
      <c r="J77" s="35">
        <f>-H78+H76</f>
        <v>25.099999999999909</v>
      </c>
      <c r="K77" s="36">
        <f>+K75</f>
        <v>50</v>
      </c>
      <c r="L77" s="36">
        <f>(E77/K77)*60</f>
        <v>31.559999999999675</v>
      </c>
      <c r="M77" s="37">
        <f>+I77/K77*60</f>
        <v>30.119999999999894</v>
      </c>
      <c r="N77" s="37">
        <f>+J77/K77*60</f>
        <v>30.119999999999894</v>
      </c>
      <c r="O77" s="37">
        <f>+N77+M77</f>
        <v>60.239999999999789</v>
      </c>
      <c r="P77" s="37">
        <f>+(I77+J77)/(O77/60)</f>
        <v>49.999999999999993</v>
      </c>
      <c r="Q77" s="38">
        <f>+Q75</f>
        <v>0.2</v>
      </c>
      <c r="R77" s="37">
        <f>+P77-(P77*Q77)</f>
        <v>39.999999999999993</v>
      </c>
      <c r="S77" s="39">
        <f>+(I77+J77)/R77</f>
        <v>1.2549999999999957</v>
      </c>
      <c r="T77" s="36">
        <f>+(2*($C$5-$C$6)/(S77*60+$C$8))*$C$9/100</f>
        <v>24.986301369863089</v>
      </c>
      <c r="U77" s="36">
        <f>+T77/2</f>
        <v>12.493150684931544</v>
      </c>
      <c r="V77" s="36">
        <f>+V75</f>
        <v>4</v>
      </c>
      <c r="W77" s="40">
        <f>+U77-V77</f>
        <v>8.4931506849315443</v>
      </c>
      <c r="X77" s="45"/>
    </row>
    <row r="78" spans="1:24" ht="15.75">
      <c r="A78" s="41" t="s">
        <v>71</v>
      </c>
      <c r="B78" s="35">
        <f>1425.4-0.6</f>
        <v>1424.8000000000002</v>
      </c>
      <c r="C78" s="35">
        <f>1425.4+0.6</f>
        <v>1426</v>
      </c>
      <c r="D78" s="35">
        <f>((C78-B78)/2)+B78</f>
        <v>1425.4</v>
      </c>
      <c r="E78" s="32"/>
      <c r="F78" s="42">
        <f>+(C78-B78)*1000</f>
        <v>1199.9999999998181</v>
      </c>
      <c r="G78" s="35">
        <f>+B78+([4]Premissas!$C$109/1000+[4]Premissas!$C$110/1000/2)</f>
        <v>1424.9056700000001</v>
      </c>
      <c r="H78" s="35">
        <f>+C78-([4]Premissas!$C$109/1000+[4]Premissas!$C$110/1000/2)</f>
        <v>1425.8943300000001</v>
      </c>
      <c r="I78" s="34"/>
      <c r="J78" s="34"/>
      <c r="K78" s="36"/>
      <c r="L78" s="36"/>
      <c r="M78" s="34"/>
      <c r="N78" s="34"/>
      <c r="O78" s="34"/>
      <c r="P78" s="37"/>
      <c r="Q78" s="38"/>
      <c r="R78" s="37"/>
      <c r="S78" s="39"/>
      <c r="T78" s="36"/>
      <c r="U78" s="34"/>
      <c r="V78" s="36"/>
      <c r="W78" s="40"/>
      <c r="X78" s="34"/>
    </row>
    <row r="79" spans="1:24" ht="15.75">
      <c r="A79" s="29"/>
      <c r="B79" s="34"/>
      <c r="C79" s="34"/>
      <c r="D79" s="34"/>
      <c r="E79" s="32">
        <f>C78-B80</f>
        <v>27.399999999999864</v>
      </c>
      <c r="F79" s="33"/>
      <c r="G79" s="34"/>
      <c r="H79" s="34"/>
      <c r="I79" s="35">
        <f>-G80+G78</f>
        <v>26.200000000000045</v>
      </c>
      <c r="J79" s="35">
        <f>-H80+H78</f>
        <v>26.200000000000045</v>
      </c>
      <c r="K79" s="36">
        <f>+K77</f>
        <v>50</v>
      </c>
      <c r="L79" s="36">
        <f>(E79/K79)*60</f>
        <v>32.879999999999839</v>
      </c>
      <c r="M79" s="37">
        <f>+I79/K79*60</f>
        <v>31.440000000000055</v>
      </c>
      <c r="N79" s="37">
        <f>+J79/K79*60</f>
        <v>31.440000000000055</v>
      </c>
      <c r="O79" s="37">
        <f>+N79+M79</f>
        <v>62.880000000000109</v>
      </c>
      <c r="P79" s="37">
        <f>+(I79+J79)/(O79/60)</f>
        <v>50</v>
      </c>
      <c r="Q79" s="38">
        <f>+Q77</f>
        <v>0.2</v>
      </c>
      <c r="R79" s="37">
        <f>+P79-(P79*Q79)</f>
        <v>40</v>
      </c>
      <c r="S79" s="39">
        <f>+(I79+J79)/R79</f>
        <v>1.3100000000000023</v>
      </c>
      <c r="T79" s="36">
        <f>+(2*($C$5-$C$6)/(S79*60+$C$8))*$C$9/100</f>
        <v>23.999999999999957</v>
      </c>
      <c r="U79" s="36">
        <f>+T79/2</f>
        <v>11.999999999999979</v>
      </c>
      <c r="V79" s="36">
        <f>+V77</f>
        <v>4</v>
      </c>
      <c r="W79" s="40">
        <f>+U79-V79</f>
        <v>7.9999999999999787</v>
      </c>
      <c r="X79" s="33"/>
    </row>
    <row r="80" spans="1:24" ht="15.75">
      <c r="A80" s="41" t="s">
        <v>72</v>
      </c>
      <c r="B80" s="35">
        <f>1399.2-0.6</f>
        <v>1398.6000000000001</v>
      </c>
      <c r="C80" s="35">
        <f>1399.2+0.6</f>
        <v>1399.8</v>
      </c>
      <c r="D80" s="35">
        <f>((C80-B80)/2)+B80</f>
        <v>1399.2</v>
      </c>
      <c r="E80" s="32"/>
      <c r="F80" s="42">
        <f>+(C80-B80)*1000</f>
        <v>1199.9999999998181</v>
      </c>
      <c r="G80" s="35">
        <f>+B80+([4]Premissas!$C$109/1000+[4]Premissas!$C$110/1000/2)</f>
        <v>1398.7056700000001</v>
      </c>
      <c r="H80" s="35">
        <f>+C80-([4]Premissas!$C$109/1000+[4]Premissas!$C$110/1000/2)</f>
        <v>1399.69433</v>
      </c>
      <c r="I80" s="34"/>
      <c r="J80" s="34"/>
      <c r="K80" s="36"/>
      <c r="L80" s="36"/>
      <c r="M80" s="34"/>
      <c r="N80" s="34"/>
      <c r="O80" s="34"/>
      <c r="P80" s="37"/>
      <c r="Q80" s="38"/>
      <c r="R80" s="37"/>
      <c r="S80" s="39"/>
      <c r="T80" s="36"/>
      <c r="U80" s="36"/>
      <c r="V80" s="36"/>
      <c r="W80" s="40"/>
      <c r="X80" s="34"/>
    </row>
    <row r="81" spans="1:24" ht="15.75">
      <c r="A81" s="29"/>
      <c r="B81" s="34"/>
      <c r="C81" s="34"/>
      <c r="D81" s="34"/>
      <c r="E81" s="32">
        <f>C80-B82</f>
        <v>27.699999999999818</v>
      </c>
      <c r="F81" s="33"/>
      <c r="G81" s="34"/>
      <c r="H81" s="34"/>
      <c r="I81" s="35">
        <f>-G82+G80</f>
        <v>26.5</v>
      </c>
      <c r="J81" s="35">
        <f>-H82+H80</f>
        <v>26.5</v>
      </c>
      <c r="K81" s="36">
        <f>+K79</f>
        <v>50</v>
      </c>
      <c r="L81" s="36">
        <f>(E81/K81)*60</f>
        <v>33.239999999999782</v>
      </c>
      <c r="M81" s="37">
        <f>+I81/K81*60</f>
        <v>31.8</v>
      </c>
      <c r="N81" s="37">
        <f>+J81/K81*60</f>
        <v>31.8</v>
      </c>
      <c r="O81" s="37">
        <f>+N81+M81</f>
        <v>63.6</v>
      </c>
      <c r="P81" s="37">
        <f>+(I81+J81)/(O81/60)</f>
        <v>50</v>
      </c>
      <c r="Q81" s="38">
        <f>+Q79</f>
        <v>0.2</v>
      </c>
      <c r="R81" s="37">
        <f>+P81-(P81*Q81)</f>
        <v>40</v>
      </c>
      <c r="S81" s="39">
        <f>+(I81+J81)/R81</f>
        <v>1.325</v>
      </c>
      <c r="T81" s="36">
        <f>+(2*($C$5-$C$6)/(S81*60+$C$8))*$C$9/100</f>
        <v>23.74437869822485</v>
      </c>
      <c r="U81" s="36">
        <f>+T81/2</f>
        <v>11.872189349112425</v>
      </c>
      <c r="V81" s="36">
        <f>+V79</f>
        <v>4</v>
      </c>
      <c r="W81" s="40">
        <f>+U81-V81</f>
        <v>7.8721893491124248</v>
      </c>
      <c r="X81" s="33"/>
    </row>
    <row r="82" spans="1:24" ht="15.75">
      <c r="A82" s="41" t="s">
        <v>73</v>
      </c>
      <c r="B82" s="35">
        <f>1372.7-0.6</f>
        <v>1372.1000000000001</v>
      </c>
      <c r="C82" s="35">
        <f>1372.7+0.6</f>
        <v>1373.3</v>
      </c>
      <c r="D82" s="35">
        <f>((C82-B82)/2)+B82</f>
        <v>1372.7</v>
      </c>
      <c r="E82" s="32"/>
      <c r="F82" s="42">
        <f>+(C82-B82)*1000</f>
        <v>1199.9999999998181</v>
      </c>
      <c r="G82" s="35">
        <f>+B82+([4]Premissas!$C$109/1000+[4]Premissas!$C$110/1000/2)</f>
        <v>1372.2056700000001</v>
      </c>
      <c r="H82" s="35">
        <f>+C82-([4]Premissas!$C$109/1000+[4]Premissas!$C$110/1000/2)</f>
        <v>1373.19433</v>
      </c>
      <c r="I82" s="34"/>
      <c r="J82" s="34"/>
      <c r="K82" s="36"/>
      <c r="L82" s="36"/>
      <c r="M82" s="34"/>
      <c r="N82" s="34"/>
      <c r="O82" s="34"/>
      <c r="P82" s="37"/>
      <c r="Q82" s="38"/>
      <c r="R82" s="37"/>
      <c r="S82" s="39"/>
      <c r="T82" s="36"/>
      <c r="U82" s="36"/>
      <c r="V82" s="36"/>
      <c r="W82" s="40"/>
      <c r="X82" s="34"/>
    </row>
    <row r="83" spans="1:24" ht="15.75">
      <c r="A83" s="29"/>
      <c r="B83" s="34"/>
      <c r="C83" s="34"/>
      <c r="D83" s="34"/>
      <c r="E83" s="32">
        <f>C82-B84</f>
        <v>21.199999999999818</v>
      </c>
      <c r="F83" s="33"/>
      <c r="G83" s="34"/>
      <c r="H83" s="34"/>
      <c r="I83" s="35">
        <f>-G84+G82</f>
        <v>20</v>
      </c>
      <c r="J83" s="35">
        <f>-H84+H82</f>
        <v>20</v>
      </c>
      <c r="K83" s="36">
        <f>+K81</f>
        <v>50</v>
      </c>
      <c r="L83" s="36">
        <f>(E83/K83)*60</f>
        <v>25.439999999999785</v>
      </c>
      <c r="M83" s="37">
        <f>+I83/K83*60</f>
        <v>24</v>
      </c>
      <c r="N83" s="37">
        <f>+J83/K83*60</f>
        <v>24</v>
      </c>
      <c r="O83" s="37">
        <f>+N83+M83</f>
        <v>48</v>
      </c>
      <c r="P83" s="37">
        <f>+(I83+J83)/(O83/60)</f>
        <v>50</v>
      </c>
      <c r="Q83" s="38">
        <f>+Q81</f>
        <v>0.2</v>
      </c>
      <c r="R83" s="37">
        <f>+P83-(P83*Q83)</f>
        <v>40</v>
      </c>
      <c r="S83" s="39">
        <f>+(I83+J83)/R83</f>
        <v>1</v>
      </c>
      <c r="T83" s="36">
        <f>+(2*($C$5-$C$6)/(S83*60+$C$8))*$C$9/100</f>
        <v>30.867692307692305</v>
      </c>
      <c r="U83" s="36">
        <f>+T83/2</f>
        <v>15.433846153846153</v>
      </c>
      <c r="V83" s="36">
        <f>+V81</f>
        <v>4</v>
      </c>
      <c r="W83" s="40">
        <f>+U83-V83</f>
        <v>11.433846153846153</v>
      </c>
      <c r="X83" s="33"/>
    </row>
    <row r="84" spans="1:24" ht="15.75">
      <c r="A84" s="41" t="s">
        <v>155</v>
      </c>
      <c r="B84" s="35">
        <f>1352.7-0.6</f>
        <v>1352.1000000000001</v>
      </c>
      <c r="C84" s="35">
        <f>1352.7+0.6</f>
        <v>1353.3</v>
      </c>
      <c r="D84" s="35">
        <f>((C84-B84)/2)+B84</f>
        <v>1352.7</v>
      </c>
      <c r="E84" s="32"/>
      <c r="F84" s="42">
        <f>+(C84-B84)*1000</f>
        <v>1199.9999999998181</v>
      </c>
      <c r="G84" s="35">
        <f>+B84+([4]Premissas!$C$109/1000+[4]Premissas!$C$110/1000/2)</f>
        <v>1352.2056700000001</v>
      </c>
      <c r="H84" s="35">
        <f>+C84-([4]Premissas!$C$109/1000+[4]Premissas!$C$110/1000/2)</f>
        <v>1353.19433</v>
      </c>
      <c r="I84" s="34"/>
      <c r="J84" s="34"/>
      <c r="K84" s="36"/>
      <c r="L84" s="36"/>
      <c r="M84" s="34"/>
      <c r="N84" s="34"/>
      <c r="O84" s="34"/>
      <c r="P84" s="37"/>
      <c r="Q84" s="38"/>
      <c r="R84" s="37"/>
      <c r="S84" s="39"/>
      <c r="T84" s="36"/>
      <c r="U84" s="36"/>
      <c r="V84" s="36"/>
      <c r="W84" s="40"/>
      <c r="X84" s="34"/>
    </row>
    <row r="85" spans="1:24" ht="15.75">
      <c r="A85" s="29"/>
      <c r="B85" s="34"/>
      <c r="C85" s="34"/>
      <c r="D85" s="34"/>
      <c r="E85" s="32">
        <f>C84-B86</f>
        <v>26.499999999999773</v>
      </c>
      <c r="F85" s="33"/>
      <c r="G85" s="34"/>
      <c r="H85" s="34"/>
      <c r="I85" s="35">
        <f>-G86+G84</f>
        <v>25.299999999999955</v>
      </c>
      <c r="J85" s="35">
        <f>-H86+H84</f>
        <v>25.299999999999955</v>
      </c>
      <c r="K85" s="36">
        <f>+K83</f>
        <v>50</v>
      </c>
      <c r="L85" s="36">
        <f>(E85/K85)*60</f>
        <v>31.799999999999727</v>
      </c>
      <c r="M85" s="37">
        <f>+I85/K85*60</f>
        <v>30.359999999999946</v>
      </c>
      <c r="N85" s="37">
        <f>+J85/K85*60</f>
        <v>30.359999999999946</v>
      </c>
      <c r="O85" s="37">
        <f>+N85+M85</f>
        <v>60.719999999999892</v>
      </c>
      <c r="P85" s="37">
        <f>+(I85+J85)/(O85/60)</f>
        <v>50</v>
      </c>
      <c r="Q85" s="38">
        <f>+Q83</f>
        <v>0.2</v>
      </c>
      <c r="R85" s="37">
        <f>+P85-(P85*Q85)</f>
        <v>40</v>
      </c>
      <c r="S85" s="39">
        <f>+(I85+J85)/R85</f>
        <v>1.2649999999999977</v>
      </c>
      <c r="T85" s="36">
        <f>+(2*($C$5-$C$6)/(S85*60+$C$8))*$C$9/100</f>
        <v>24.800988875154552</v>
      </c>
      <c r="U85" s="36">
        <f>+T85/2</f>
        <v>12.400494437577276</v>
      </c>
      <c r="V85" s="36">
        <f>+V83</f>
        <v>4</v>
      </c>
      <c r="W85" s="40">
        <f>+U85-V85</f>
        <v>8.4004944375772759</v>
      </c>
      <c r="X85" s="33"/>
    </row>
    <row r="86" spans="1:24" ht="15.75">
      <c r="A86" s="41" t="s">
        <v>74</v>
      </c>
      <c r="B86" s="35">
        <f>1327.4-0.6</f>
        <v>1326.8000000000002</v>
      </c>
      <c r="C86" s="35">
        <f>1327.4+0.6</f>
        <v>1328</v>
      </c>
      <c r="D86" s="35">
        <f>((C86-B86)/2)+B86</f>
        <v>1327.4</v>
      </c>
      <c r="E86" s="32"/>
      <c r="F86" s="42">
        <f>+(C86-B86)*1000</f>
        <v>1199.9999999998181</v>
      </c>
      <c r="G86" s="35">
        <f>+B86+([4]Premissas!$C$109/1000+[4]Premissas!$C$110/1000/2)</f>
        <v>1326.9056700000001</v>
      </c>
      <c r="H86" s="35">
        <f>+C86-([4]Premissas!$C$109/1000+[4]Premissas!$C$110/1000/2)</f>
        <v>1327.8943300000001</v>
      </c>
      <c r="I86" s="34"/>
      <c r="J86" s="34"/>
      <c r="K86" s="36"/>
      <c r="L86" s="36"/>
      <c r="M86" s="34"/>
      <c r="N86" s="34"/>
      <c r="O86" s="34"/>
      <c r="P86" s="37"/>
      <c r="Q86" s="38"/>
      <c r="R86" s="37"/>
      <c r="S86" s="34"/>
      <c r="T86" s="36"/>
      <c r="U86" s="36"/>
      <c r="V86" s="36"/>
      <c r="W86" s="40"/>
      <c r="X86" s="34"/>
    </row>
    <row r="87" spans="1:24" ht="15.75">
      <c r="A87" s="29"/>
      <c r="B87" s="34"/>
      <c r="C87" s="34"/>
      <c r="D87" s="34"/>
      <c r="E87" s="32">
        <f>C86-B88</f>
        <v>31</v>
      </c>
      <c r="F87" s="33"/>
      <c r="G87" s="34"/>
      <c r="H87" s="34"/>
      <c r="I87" s="35">
        <f>-G88+G86</f>
        <v>29.800000000000182</v>
      </c>
      <c r="J87" s="35">
        <f>-H88+H86</f>
        <v>29.800000000000182</v>
      </c>
      <c r="K87" s="36">
        <f>+K85</f>
        <v>50</v>
      </c>
      <c r="L87" s="36">
        <f>(E87/K87)*60</f>
        <v>37.200000000000003</v>
      </c>
      <c r="M87" s="37">
        <f>+I87/K87*60</f>
        <v>35.760000000000218</v>
      </c>
      <c r="N87" s="37">
        <f>+J87/K87*60</f>
        <v>35.760000000000218</v>
      </c>
      <c r="O87" s="37">
        <f>+N87+M87</f>
        <v>71.520000000000437</v>
      </c>
      <c r="P87" s="37">
        <f>+(I87+J87)/(O87/60)</f>
        <v>50</v>
      </c>
      <c r="Q87" s="38">
        <f>+Q85</f>
        <v>0.2</v>
      </c>
      <c r="R87" s="37">
        <f>+P87-(P87*Q87)</f>
        <v>40</v>
      </c>
      <c r="S87" s="39">
        <f>+(I87+J87)/R87</f>
        <v>1.4900000000000091</v>
      </c>
      <c r="T87" s="36">
        <f>+(2*($C$5-$C$6)/(S87*60+$C$8))*$C$9/100</f>
        <v>21.254237288135467</v>
      </c>
      <c r="U87" s="36">
        <f>+T87/2</f>
        <v>10.627118644067734</v>
      </c>
      <c r="V87" s="36">
        <f>+V85</f>
        <v>4</v>
      </c>
      <c r="W87" s="40">
        <f>+U87-V87</f>
        <v>6.6271186440677337</v>
      </c>
      <c r="X87" s="33">
        <f>+W87</f>
        <v>6.6271186440677337</v>
      </c>
    </row>
    <row r="88" spans="1:24" ht="15.75">
      <c r="A88" s="41" t="s">
        <v>75</v>
      </c>
      <c r="B88" s="35">
        <f>1297.6-0.6</f>
        <v>1297</v>
      </c>
      <c r="C88" s="35">
        <f>1297.6+0.6</f>
        <v>1298.1999999999998</v>
      </c>
      <c r="D88" s="35">
        <f>((C88-B88)/2)+B88</f>
        <v>1297.5999999999999</v>
      </c>
      <c r="E88" s="32"/>
      <c r="F88" s="42">
        <f>+(C88-B88)*1000</f>
        <v>1199.9999999998181</v>
      </c>
      <c r="G88" s="35">
        <f>+B88+([4]Premissas!$C$109/1000+[4]Premissas!$C$110/1000/2)</f>
        <v>1297.1056699999999</v>
      </c>
      <c r="H88" s="35">
        <f>+C88-([4]Premissas!$C$109/1000+[4]Premissas!$C$110/1000/2)</f>
        <v>1298.0943299999999</v>
      </c>
      <c r="I88" s="34"/>
      <c r="J88" s="34"/>
      <c r="K88" s="36"/>
      <c r="L88" s="36"/>
      <c r="M88" s="34"/>
      <c r="N88" s="34"/>
      <c r="O88" s="34"/>
      <c r="P88" s="37"/>
      <c r="Q88" s="34"/>
      <c r="R88" s="37"/>
      <c r="S88" s="34"/>
      <c r="T88" s="34"/>
      <c r="U88" s="34"/>
      <c r="V88" s="36"/>
      <c r="W88" s="40"/>
      <c r="X88" s="34"/>
    </row>
    <row r="89" spans="1:24" ht="15.75">
      <c r="A89" s="29"/>
      <c r="B89" s="34"/>
      <c r="C89" s="34"/>
      <c r="D89" s="34"/>
      <c r="E89" s="32">
        <f>C88-B90</f>
        <v>30.799999999999727</v>
      </c>
      <c r="F89" s="33"/>
      <c r="G89" s="34"/>
      <c r="H89" s="34"/>
      <c r="I89" s="35">
        <f>-G90+G88</f>
        <v>29.599999999999909</v>
      </c>
      <c r="J89" s="35">
        <f>-H90+H88</f>
        <v>29.599999999999909</v>
      </c>
      <c r="K89" s="36">
        <f>+K87</f>
        <v>50</v>
      </c>
      <c r="L89" s="36">
        <f>(E89/K89)*60</f>
        <v>36.959999999999674</v>
      </c>
      <c r="M89" s="37">
        <f>+I89/K89*60</f>
        <v>35.519999999999889</v>
      </c>
      <c r="N89" s="37">
        <f>+J89/K89*60</f>
        <v>35.519999999999889</v>
      </c>
      <c r="O89" s="37">
        <f>+N89+M89</f>
        <v>71.039999999999779</v>
      </c>
      <c r="P89" s="37">
        <f>+(I89+J89)/(O89/60)</f>
        <v>50</v>
      </c>
      <c r="Q89" s="38">
        <f>+Q87</f>
        <v>0.2</v>
      </c>
      <c r="R89" s="37">
        <f>+P89-(P89*Q89)</f>
        <v>40</v>
      </c>
      <c r="S89" s="39">
        <f>+(I89+J89)/R89</f>
        <v>1.4799999999999955</v>
      </c>
      <c r="T89" s="36">
        <f>+(2*($C$5-$C$6)/(S89*60+$C$8))*$C$9/100</f>
        <v>21.390191897654645</v>
      </c>
      <c r="U89" s="36">
        <f>+T89/2</f>
        <v>10.695095948827323</v>
      </c>
      <c r="V89" s="36">
        <f>+V87</f>
        <v>4</v>
      </c>
      <c r="W89" s="40">
        <f>+U89-V89</f>
        <v>6.6950959488273227</v>
      </c>
      <c r="X89" s="33"/>
    </row>
    <row r="90" spans="1:24" ht="15.75">
      <c r="A90" s="41" t="s">
        <v>76</v>
      </c>
      <c r="B90" s="35">
        <f>1268-0.6</f>
        <v>1267.4000000000001</v>
      </c>
      <c r="C90" s="35">
        <f>1268+0.6</f>
        <v>1268.5999999999999</v>
      </c>
      <c r="D90" s="35">
        <f>((C90-B90)/2)+B90</f>
        <v>1268</v>
      </c>
      <c r="E90" s="32"/>
      <c r="F90" s="42">
        <f>+(C90-B90)*1000</f>
        <v>1199.9999999998181</v>
      </c>
      <c r="G90" s="35">
        <f>+B90+([4]Premissas!$C$109/1000+[4]Premissas!$C$110/1000/2)</f>
        <v>1267.50567</v>
      </c>
      <c r="H90" s="35">
        <f>+C90-([4]Premissas!$C$109/1000+[4]Premissas!$C$110/1000/2)</f>
        <v>1268.49433</v>
      </c>
      <c r="I90" s="35"/>
      <c r="J90" s="35"/>
      <c r="K90" s="36"/>
      <c r="L90" s="36"/>
      <c r="M90" s="34"/>
      <c r="N90" s="34"/>
      <c r="O90" s="34"/>
      <c r="P90" s="37"/>
      <c r="Q90" s="34"/>
      <c r="R90" s="37"/>
      <c r="S90" s="34"/>
      <c r="T90" s="34"/>
      <c r="U90" s="34"/>
      <c r="V90" s="34"/>
      <c r="W90" s="40"/>
      <c r="X90" s="34"/>
    </row>
    <row r="91" spans="1:24" ht="15.75">
      <c r="A91" s="29"/>
      <c r="B91" s="40"/>
      <c r="C91" s="40"/>
      <c r="D91" s="40"/>
      <c r="E91" s="32">
        <f>C90-B92</f>
        <v>26.399999999999864</v>
      </c>
      <c r="F91" s="33"/>
      <c r="G91" s="34"/>
      <c r="H91" s="34"/>
      <c r="I91" s="35">
        <f>-G92+G90</f>
        <v>25.200000000000045</v>
      </c>
      <c r="J91" s="35">
        <f>-H92+H90</f>
        <v>25.200000000000045</v>
      </c>
      <c r="K91" s="36">
        <f>+K89</f>
        <v>50</v>
      </c>
      <c r="L91" s="36">
        <f>(E91/K91)*60</f>
        <v>31.679999999999836</v>
      </c>
      <c r="M91" s="37">
        <f>+I91/K91*60</f>
        <v>30.240000000000052</v>
      </c>
      <c r="N91" s="37">
        <f>+J91/K91*60</f>
        <v>30.240000000000052</v>
      </c>
      <c r="O91" s="37">
        <f>+N91+M91</f>
        <v>60.480000000000103</v>
      </c>
      <c r="P91" s="37">
        <f>+(I91+J91)/(O91/60)</f>
        <v>50</v>
      </c>
      <c r="Q91" s="38">
        <f>+Q89</f>
        <v>0.2</v>
      </c>
      <c r="R91" s="37">
        <f>+P91-(P91*Q91)</f>
        <v>40</v>
      </c>
      <c r="S91" s="39">
        <f>+(I91+J91)/R91</f>
        <v>1.2600000000000022</v>
      </c>
      <c r="T91" s="36">
        <f>+(2*($C$5-$C$6)/(S91*60+$C$8))*$C$9/100</f>
        <v>24.893300248138914</v>
      </c>
      <c r="U91" s="36">
        <f>+T91/2</f>
        <v>12.446650124069457</v>
      </c>
      <c r="V91" s="36">
        <f>+V89</f>
        <v>4</v>
      </c>
      <c r="W91" s="40">
        <f>+U91-V91</f>
        <v>8.4466501240694569</v>
      </c>
      <c r="X91" s="33"/>
    </row>
    <row r="92" spans="1:24" ht="15.75">
      <c r="A92" s="41" t="s">
        <v>77</v>
      </c>
      <c r="B92" s="35">
        <f>1242.8-0.6</f>
        <v>1242.2</v>
      </c>
      <c r="C92" s="35">
        <f>1242.8+0.6</f>
        <v>1243.3999999999999</v>
      </c>
      <c r="D92" s="35">
        <f>((C92-B92)/2)+B92</f>
        <v>1242.8</v>
      </c>
      <c r="E92" s="32"/>
      <c r="F92" s="42">
        <f>+(C92-B92)*1000</f>
        <v>1199.9999999998181</v>
      </c>
      <c r="G92" s="35">
        <f>+B92+([4]Premissas!$C$109/1000+[4]Premissas!$C$110/1000/2)</f>
        <v>1242.30567</v>
      </c>
      <c r="H92" s="35">
        <f>+C92-([4]Premissas!$C$109/1000+[4]Premissas!$C$110/1000/2)</f>
        <v>1243.2943299999999</v>
      </c>
      <c r="I92" s="34"/>
      <c r="J92" s="34"/>
      <c r="K92" s="36"/>
      <c r="L92" s="36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40"/>
      <c r="X92" s="34"/>
    </row>
    <row r="93" spans="1:24" ht="15.75">
      <c r="A93" s="29"/>
      <c r="B93" s="35"/>
      <c r="C93" s="35"/>
      <c r="D93" s="35"/>
      <c r="E93" s="32">
        <f>C92-B94</f>
        <v>24.899999999999864</v>
      </c>
      <c r="F93" s="33"/>
      <c r="G93" s="35"/>
      <c r="H93" s="35"/>
      <c r="I93" s="35">
        <f>-G94+G92</f>
        <v>23.700000000000045</v>
      </c>
      <c r="J93" s="35">
        <f>-H94+H92</f>
        <v>23.700000000000045</v>
      </c>
      <c r="K93" s="36">
        <f>+K91</f>
        <v>50</v>
      </c>
      <c r="L93" s="36">
        <f>(E93/K93)*60</f>
        <v>29.879999999999836</v>
      </c>
      <c r="M93" s="37">
        <f>+I93/K93*60</f>
        <v>28.440000000000055</v>
      </c>
      <c r="N93" s="37">
        <f>+J93/K93*60</f>
        <v>28.440000000000055</v>
      </c>
      <c r="O93" s="37">
        <f>+N93+M93</f>
        <v>56.880000000000109</v>
      </c>
      <c r="P93" s="37">
        <f>+(I93+J93)/(O93/60)</f>
        <v>50</v>
      </c>
      <c r="Q93" s="38">
        <f>+Q91</f>
        <v>0.2</v>
      </c>
      <c r="R93" s="37">
        <f>+P93-(P93*Q93)</f>
        <v>40</v>
      </c>
      <c r="S93" s="39">
        <f>+(I93+J93)/R93</f>
        <v>1.1850000000000023</v>
      </c>
      <c r="T93" s="36">
        <f>+(2*($C$5-$C$6)/(S93*60+$C$8))*$C$9/100</f>
        <v>26.365308804204947</v>
      </c>
      <c r="U93" s="36">
        <f>+T93/2</f>
        <v>13.182654402102473</v>
      </c>
      <c r="V93" s="36">
        <f>+V91</f>
        <v>4</v>
      </c>
      <c r="W93" s="40">
        <f>+U93-V93</f>
        <v>9.1826544021024734</v>
      </c>
      <c r="X93" s="33"/>
    </row>
    <row r="94" spans="1:24" ht="15.75">
      <c r="A94" s="41" t="s">
        <v>78</v>
      </c>
      <c r="B94" s="35">
        <f>1219.1-0.6</f>
        <v>1218.5</v>
      </c>
      <c r="C94" s="35">
        <f>1219.1+0.6</f>
        <v>1219.6999999999998</v>
      </c>
      <c r="D94" s="35">
        <f>((C94-B94)/2)+B94</f>
        <v>1219.0999999999999</v>
      </c>
      <c r="E94" s="32"/>
      <c r="F94" s="42">
        <f>+(C94-B94)*1000</f>
        <v>1199.9999999998181</v>
      </c>
      <c r="G94" s="35">
        <f>+B94+([4]Premissas!$C$109/1000+[4]Premissas!$C$110/1000/2)</f>
        <v>1218.6056699999999</v>
      </c>
      <c r="H94" s="35">
        <f>+C94-([4]Premissas!$C$109/1000+[4]Premissas!$C$110/1000/2)</f>
        <v>1219.5943299999999</v>
      </c>
      <c r="I94" s="35"/>
      <c r="J94" s="35"/>
      <c r="K94" s="36"/>
      <c r="L94" s="36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40"/>
      <c r="X94" s="34"/>
    </row>
    <row r="95" spans="1:24" ht="15.75">
      <c r="A95" s="29"/>
      <c r="B95" s="35"/>
      <c r="C95" s="35"/>
      <c r="D95" s="35"/>
      <c r="E95" s="32">
        <f>C94-B96</f>
        <v>26.299999999999727</v>
      </c>
      <c r="F95" s="33"/>
      <c r="G95" s="34"/>
      <c r="H95" s="34"/>
      <c r="I95" s="35">
        <f>-G96+G94</f>
        <v>25.099999999999909</v>
      </c>
      <c r="J95" s="35">
        <f>-H96+H94</f>
        <v>25.099999999999909</v>
      </c>
      <c r="K95" s="36">
        <f>+K93</f>
        <v>50</v>
      </c>
      <c r="L95" s="36">
        <f>(E95/K95)*60</f>
        <v>31.559999999999675</v>
      </c>
      <c r="M95" s="37">
        <f>+I95/K95*60</f>
        <v>30.119999999999894</v>
      </c>
      <c r="N95" s="37">
        <f>+J95/K95*60</f>
        <v>30.119999999999894</v>
      </c>
      <c r="O95" s="37">
        <f>+N95+M95</f>
        <v>60.239999999999789</v>
      </c>
      <c r="P95" s="37">
        <f>+(I95+J95)/(O95/60)</f>
        <v>49.999999999999993</v>
      </c>
      <c r="Q95" s="38">
        <f>+Q93</f>
        <v>0.2</v>
      </c>
      <c r="R95" s="37">
        <f>+P95-(P95*Q95)</f>
        <v>39.999999999999993</v>
      </c>
      <c r="S95" s="39">
        <f>+(I95+J95)/R95</f>
        <v>1.2549999999999957</v>
      </c>
      <c r="T95" s="36">
        <f>+(2*($C$5-$C$6)/(S95*60+$C$8))*$C$9/100</f>
        <v>24.986301369863089</v>
      </c>
      <c r="U95" s="36">
        <f>+T95/2</f>
        <v>12.493150684931544</v>
      </c>
      <c r="V95" s="36">
        <f>+V93</f>
        <v>4</v>
      </c>
      <c r="W95" s="40">
        <f>+U95-V95</f>
        <v>8.4931506849315443</v>
      </c>
      <c r="X95" s="33"/>
    </row>
    <row r="96" spans="1:24" ht="15.75">
      <c r="A96" s="41" t="s">
        <v>79</v>
      </c>
      <c r="B96" s="35">
        <f>1194-0.6</f>
        <v>1193.4000000000001</v>
      </c>
      <c r="C96" s="35">
        <f>1194+0.6</f>
        <v>1194.5999999999999</v>
      </c>
      <c r="D96" s="35">
        <f>((C96-B96)/2)+B96</f>
        <v>1194</v>
      </c>
      <c r="E96" s="32"/>
      <c r="F96" s="42">
        <f>+(C96-B96)*1000</f>
        <v>1199.9999999998181</v>
      </c>
      <c r="G96" s="35">
        <f>+B96+([4]Premissas!$C$109/1000+[4]Premissas!$C$110/1000/2)</f>
        <v>1193.50567</v>
      </c>
      <c r="H96" s="35">
        <f>+C96-([4]Premissas!$C$109/1000+[4]Premissas!$C$110/1000/2)</f>
        <v>1194.49433</v>
      </c>
      <c r="I96" s="34"/>
      <c r="J96" s="34"/>
      <c r="K96" s="36"/>
      <c r="L96" s="36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40"/>
      <c r="X96" s="34"/>
    </row>
    <row r="97" spans="1:24" ht="15.75">
      <c r="A97" s="29"/>
      <c r="B97" s="34"/>
      <c r="C97" s="34"/>
      <c r="D97" s="34"/>
      <c r="E97" s="32">
        <f>C96-B98</f>
        <v>29.199999999999818</v>
      </c>
      <c r="F97" s="33"/>
      <c r="G97" s="34"/>
      <c r="H97" s="34"/>
      <c r="I97" s="35">
        <f>-G98+G96</f>
        <v>28</v>
      </c>
      <c r="J97" s="35">
        <f>-H98+H96</f>
        <v>28</v>
      </c>
      <c r="K97" s="36">
        <f>+K95</f>
        <v>50</v>
      </c>
      <c r="L97" s="36">
        <f>(E97/K97)*60</f>
        <v>35.039999999999786</v>
      </c>
      <c r="M97" s="37">
        <f>+I97/K97*60</f>
        <v>33.6</v>
      </c>
      <c r="N97" s="37">
        <f>+J97/K97*60</f>
        <v>33.6</v>
      </c>
      <c r="O97" s="37">
        <f>+N97+M97</f>
        <v>67.2</v>
      </c>
      <c r="P97" s="37">
        <f>+(I97+J97)/(O97/60)</f>
        <v>49.999999999999993</v>
      </c>
      <c r="Q97" s="38">
        <f>+Q95</f>
        <v>0.2</v>
      </c>
      <c r="R97" s="37">
        <f>+P97-(P97*Q97)</f>
        <v>39.999999999999993</v>
      </c>
      <c r="S97" s="39">
        <f>+(I97+J97)/R97</f>
        <v>1.4000000000000004</v>
      </c>
      <c r="T97" s="36">
        <f>+(2*($C$5-$C$6)/(S97*60+$C$8))*$C$9/100</f>
        <v>22.543820224719092</v>
      </c>
      <c r="U97" s="36">
        <f>+T97/2</f>
        <v>11.271910112359546</v>
      </c>
      <c r="V97" s="36">
        <f>+V95</f>
        <v>4</v>
      </c>
      <c r="W97" s="40">
        <f>+U97-V97</f>
        <v>7.2719101123595458</v>
      </c>
      <c r="X97" s="33"/>
    </row>
    <row r="98" spans="1:24" ht="15.75">
      <c r="A98" s="41" t="s">
        <v>80</v>
      </c>
      <c r="B98" s="35">
        <f>1166-0.6</f>
        <v>1165.4000000000001</v>
      </c>
      <c r="C98" s="35">
        <f>1166+0.6</f>
        <v>1166.5999999999999</v>
      </c>
      <c r="D98" s="35">
        <f>((C98-B98)/2)+B98</f>
        <v>1166</v>
      </c>
      <c r="E98" s="32"/>
      <c r="F98" s="42">
        <f>+(C98-B98)*1000</f>
        <v>1199.9999999998181</v>
      </c>
      <c r="G98" s="35">
        <f>+B98+([4]Premissas!$C$109/1000+[4]Premissas!$C$110/1000/2)</f>
        <v>1165.50567</v>
      </c>
      <c r="H98" s="35">
        <f>+C98-([4]Premissas!$C$109/1000+[4]Premissas!$C$110/1000/2)</f>
        <v>1166.49433</v>
      </c>
      <c r="I98" s="34"/>
      <c r="J98" s="34"/>
      <c r="K98" s="36"/>
      <c r="L98" s="36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40"/>
      <c r="X98" s="34"/>
    </row>
    <row r="99" spans="1:24" ht="15.75">
      <c r="A99" s="29"/>
      <c r="B99" s="34"/>
      <c r="C99" s="34"/>
      <c r="D99" s="34"/>
      <c r="E99" s="32">
        <f>C98-B100</f>
        <v>27.799999999999727</v>
      </c>
      <c r="F99" s="33"/>
      <c r="G99" s="34"/>
      <c r="H99" s="34"/>
      <c r="I99" s="35">
        <f>-G100+G98</f>
        <v>26.599999999999909</v>
      </c>
      <c r="J99" s="35">
        <f>-H100+H98</f>
        <v>26.599999999999909</v>
      </c>
      <c r="K99" s="36">
        <f>+K97</f>
        <v>50</v>
      </c>
      <c r="L99" s="36">
        <f>(E99/K99)*60</f>
        <v>33.359999999999673</v>
      </c>
      <c r="M99" s="37">
        <f>+I99/K99*60</f>
        <v>31.919999999999888</v>
      </c>
      <c r="N99" s="37">
        <f>+J99/K99*60</f>
        <v>31.919999999999888</v>
      </c>
      <c r="O99" s="37">
        <f>+N99+M99</f>
        <v>63.839999999999776</v>
      </c>
      <c r="P99" s="37">
        <f>+(I99+J99)/(O99/60)</f>
        <v>50.000000000000007</v>
      </c>
      <c r="Q99" s="38">
        <f>+Q97</f>
        <v>0.2</v>
      </c>
      <c r="R99" s="37">
        <f>+P99-(P99*Q99)</f>
        <v>40.000000000000007</v>
      </c>
      <c r="S99" s="39">
        <f>+(I99+J99)/R99</f>
        <v>1.3299999999999952</v>
      </c>
      <c r="T99" s="36">
        <f>+(2*($C$5-$C$6)/(S99*60+$C$8))*$C$9/100</f>
        <v>23.660377358490646</v>
      </c>
      <c r="U99" s="36">
        <f>+T99/2</f>
        <v>11.830188679245323</v>
      </c>
      <c r="V99" s="36">
        <f>+V97</f>
        <v>4</v>
      </c>
      <c r="W99" s="40">
        <f>+U99-V99</f>
        <v>7.8301886792453228</v>
      </c>
      <c r="X99" s="33"/>
    </row>
    <row r="100" spans="1:24" ht="15.75">
      <c r="A100" s="41" t="s">
        <v>81</v>
      </c>
      <c r="B100" s="35">
        <f>1139.4-0.6</f>
        <v>1138.8000000000002</v>
      </c>
      <c r="C100" s="35">
        <f>1139.4+0.6</f>
        <v>1140</v>
      </c>
      <c r="D100" s="35">
        <f>((C100-B100)/2)+B100</f>
        <v>1139.4000000000001</v>
      </c>
      <c r="E100" s="32"/>
      <c r="F100" s="42">
        <f>+(C100-B100)*1000</f>
        <v>1199.9999999998181</v>
      </c>
      <c r="G100" s="35">
        <f>+B100+([4]Premissas!$C$109/1000+[4]Premissas!$C$110/1000/2)</f>
        <v>1138.9056700000001</v>
      </c>
      <c r="H100" s="35">
        <f>+C100-([4]Premissas!$C$109/1000+[4]Premissas!$C$110/1000/2)</f>
        <v>1139.8943300000001</v>
      </c>
      <c r="I100" s="34"/>
      <c r="J100" s="34"/>
      <c r="K100" s="36"/>
      <c r="L100" s="36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40"/>
      <c r="X100" s="34"/>
    </row>
    <row r="101" spans="1:24" ht="15.75">
      <c r="A101" s="29"/>
      <c r="B101" s="34"/>
      <c r="C101" s="34"/>
      <c r="D101" s="34"/>
      <c r="E101" s="32">
        <f>C100-B102</f>
        <v>22.399999999999864</v>
      </c>
      <c r="F101" s="33"/>
      <c r="G101" s="34"/>
      <c r="H101" s="34"/>
      <c r="I101" s="35">
        <f>-G102+G100</f>
        <v>21.200000000000045</v>
      </c>
      <c r="J101" s="35">
        <f>-H102+H100</f>
        <v>21.200000000000045</v>
      </c>
      <c r="K101" s="36">
        <f>+K99</f>
        <v>50</v>
      </c>
      <c r="L101" s="36">
        <f>(E101/K101)*60</f>
        <v>26.879999999999839</v>
      </c>
      <c r="M101" s="37">
        <f>+I101/K101*60</f>
        <v>25.440000000000055</v>
      </c>
      <c r="N101" s="37">
        <f>+J101/K101*60</f>
        <v>25.440000000000055</v>
      </c>
      <c r="O101" s="37">
        <f>+N101+M101</f>
        <v>50.880000000000109</v>
      </c>
      <c r="P101" s="37">
        <f>+(I101+J101)/(O101/60)</f>
        <v>50</v>
      </c>
      <c r="Q101" s="38">
        <f>+Q99</f>
        <v>0.2</v>
      </c>
      <c r="R101" s="37">
        <f>+P101-(P101*Q101)</f>
        <v>40</v>
      </c>
      <c r="S101" s="39">
        <f>+(I101+J101)/R101</f>
        <v>1.0600000000000023</v>
      </c>
      <c r="T101" s="36">
        <f>+(2*($C$5-$C$6)/(S101*60+$C$8))*$C$9/100</f>
        <v>29.247813411078656</v>
      </c>
      <c r="U101" s="36">
        <f>+T101/2</f>
        <v>14.623906705539328</v>
      </c>
      <c r="V101" s="36">
        <f>+V99</f>
        <v>4</v>
      </c>
      <c r="W101" s="40">
        <f>+U101-V101</f>
        <v>10.623906705539328</v>
      </c>
      <c r="X101" s="33"/>
    </row>
    <row r="102" spans="1:24" ht="15.75">
      <c r="A102" s="41" t="s">
        <v>82</v>
      </c>
      <c r="B102" s="35">
        <f>1118.2-0.6</f>
        <v>1117.6000000000001</v>
      </c>
      <c r="C102" s="35">
        <f>1118.2+0.6</f>
        <v>1118.8</v>
      </c>
      <c r="D102" s="35">
        <f>((C102-B102)/2)+B102</f>
        <v>1118.2</v>
      </c>
      <c r="E102" s="32"/>
      <c r="F102" s="42">
        <f>+(C102-B102)*1000</f>
        <v>1199.9999999998181</v>
      </c>
      <c r="G102" s="35">
        <f>+B102+([4]Premissas!$C$109/1000+[4]Premissas!$C$110/1000/2)</f>
        <v>1117.7056700000001</v>
      </c>
      <c r="H102" s="35">
        <f>+C102-([4]Premissas!$C$109/1000+[4]Premissas!$C$110/1000/2)</f>
        <v>1118.69433</v>
      </c>
      <c r="I102" s="34"/>
      <c r="J102" s="34"/>
      <c r="K102" s="36"/>
      <c r="L102" s="36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40"/>
      <c r="X102" s="34"/>
    </row>
    <row r="103" spans="1:24" ht="15.75">
      <c r="A103" s="29"/>
      <c r="B103" s="34"/>
      <c r="C103" s="34"/>
      <c r="D103" s="34"/>
      <c r="E103" s="32">
        <f>C102-B104</f>
        <v>10.399999999999864</v>
      </c>
      <c r="F103" s="33"/>
      <c r="G103" s="34"/>
      <c r="H103" s="34"/>
      <c r="I103" s="35">
        <f>-G104+G102</f>
        <v>9.2000000000000455</v>
      </c>
      <c r="J103" s="35">
        <f>-H104+H102</f>
        <v>9.2000000000000455</v>
      </c>
      <c r="K103" s="36">
        <f>+K101</f>
        <v>50</v>
      </c>
      <c r="L103" s="36">
        <f>(E103/K103)*60</f>
        <v>12.479999999999837</v>
      </c>
      <c r="M103" s="37">
        <f>+I103/K103*60</f>
        <v>11.040000000000054</v>
      </c>
      <c r="N103" s="37">
        <f>+J103/K103*60</f>
        <v>11.040000000000054</v>
      </c>
      <c r="O103" s="37">
        <f>+N103+M103</f>
        <v>22.080000000000108</v>
      </c>
      <c r="P103" s="37">
        <f>+(I103+J103)/(O103/60)</f>
        <v>50</v>
      </c>
      <c r="Q103" s="38">
        <f>+Q101</f>
        <v>0.2</v>
      </c>
      <c r="R103" s="37">
        <f>+P103-(P103*Q103)</f>
        <v>40</v>
      </c>
      <c r="S103" s="39">
        <f>+(I103+J103)/R103</f>
        <v>0.4600000000000023</v>
      </c>
      <c r="T103" s="36">
        <f>+(2*($C$5-$C$6)/(S103*60+$C$8))*$C$9/100</f>
        <v>61.546012269938402</v>
      </c>
      <c r="U103" s="36">
        <f>+T103/2</f>
        <v>30.773006134969201</v>
      </c>
      <c r="V103" s="36">
        <f>+V101</f>
        <v>4</v>
      </c>
      <c r="W103" s="40">
        <f>+U103-V103</f>
        <v>26.773006134969201</v>
      </c>
      <c r="X103" s="33"/>
    </row>
    <row r="104" spans="1:24" ht="15.75">
      <c r="A104" s="29" t="s">
        <v>83</v>
      </c>
      <c r="B104" s="35">
        <f>1109-0.6</f>
        <v>1108.4000000000001</v>
      </c>
      <c r="C104" s="35">
        <f>1109+0.6</f>
        <v>1109.5999999999999</v>
      </c>
      <c r="D104" s="35">
        <f>((C104-B104)/2)+B104</f>
        <v>1109</v>
      </c>
      <c r="E104" s="32"/>
      <c r="F104" s="42">
        <f>+(C104-B104)*1000</f>
        <v>1199.9999999998181</v>
      </c>
      <c r="G104" s="35">
        <f>+B104+([4]Premissas!$C$109/1000+[4]Premissas!$C$110/1000/2)</f>
        <v>1108.50567</v>
      </c>
      <c r="H104" s="35">
        <f>+C104-([4]Premissas!$C$109/1000+[4]Premissas!$C$110/1000/2)</f>
        <v>1109.49433</v>
      </c>
      <c r="I104" s="35"/>
      <c r="J104" s="35"/>
      <c r="K104" s="36"/>
      <c r="L104" s="36"/>
      <c r="M104" s="37"/>
      <c r="N104" s="37"/>
      <c r="O104" s="37"/>
      <c r="P104" s="37"/>
      <c r="Q104" s="38"/>
      <c r="R104" s="37"/>
      <c r="S104" s="39"/>
      <c r="T104" s="36"/>
      <c r="U104" s="36"/>
      <c r="V104" s="36"/>
      <c r="W104" s="40"/>
      <c r="X104" s="34"/>
    </row>
    <row r="105" spans="1:24" ht="15.75">
      <c r="A105" s="29"/>
      <c r="B105" s="35"/>
      <c r="C105" s="35"/>
      <c r="D105" s="35"/>
      <c r="E105" s="32">
        <f>C104-B106</f>
        <v>12.099999999999909</v>
      </c>
      <c r="F105" s="42"/>
      <c r="G105" s="35"/>
      <c r="H105" s="35"/>
      <c r="I105" s="35">
        <f>-G106+G104</f>
        <v>10.900000000000091</v>
      </c>
      <c r="J105" s="35">
        <f>-H106+H104</f>
        <v>10.900000000000091</v>
      </c>
      <c r="K105" s="36">
        <f>+K103</f>
        <v>50</v>
      </c>
      <c r="L105" s="36">
        <f>(E105/K105)*60</f>
        <v>14.519999999999891</v>
      </c>
      <c r="M105" s="37">
        <f>+I105/K105*60</f>
        <v>13.08000000000011</v>
      </c>
      <c r="N105" s="37">
        <f>+J105/K105*60</f>
        <v>13.08000000000011</v>
      </c>
      <c r="O105" s="37">
        <f>+N105+M105</f>
        <v>26.16000000000022</v>
      </c>
      <c r="P105" s="37">
        <f>+(I105+J105)/(O105/60)</f>
        <v>50</v>
      </c>
      <c r="Q105" s="38">
        <f>+Q103</f>
        <v>0.2</v>
      </c>
      <c r="R105" s="37">
        <f>+P105-(P105*Q105)</f>
        <v>40</v>
      </c>
      <c r="S105" s="39">
        <f>+(I105+J105)/R105</f>
        <v>0.54500000000000459</v>
      </c>
      <c r="T105" s="36">
        <f>+(2*($C$5-$C$6)/(S105*60+$C$8))*$C$9/100</f>
        <v>53.220159151193251</v>
      </c>
      <c r="U105" s="36">
        <f>+T105/2</f>
        <v>26.610079575596625</v>
      </c>
      <c r="V105" s="36">
        <f>+V103</f>
        <v>4</v>
      </c>
      <c r="W105" s="40">
        <f>+U105-V105</f>
        <v>22.610079575596625</v>
      </c>
      <c r="X105" s="34"/>
    </row>
    <row r="106" spans="1:24" ht="15.75">
      <c r="A106" s="41" t="s">
        <v>84</v>
      </c>
      <c r="B106" s="35">
        <f>1098.1-0.6</f>
        <v>1097.5</v>
      </c>
      <c r="C106" s="35">
        <f>1098.1+0.6</f>
        <v>1098.6999999999998</v>
      </c>
      <c r="D106" s="35">
        <f>((C106-B106)/2)+B106</f>
        <v>1098.0999999999999</v>
      </c>
      <c r="E106" s="32"/>
      <c r="F106" s="42">
        <f>+(C106-B106)*1000</f>
        <v>1199.9999999998181</v>
      </c>
      <c r="G106" s="35">
        <f>+B106+([4]Premissas!$C$109/1000+[4]Premissas!$C$110/1000/2)</f>
        <v>1097.6056699999999</v>
      </c>
      <c r="H106" s="35">
        <f>+C106-([4]Premissas!$C$109/1000+[4]Premissas!$C$110/1000/2)</f>
        <v>1098.5943299999999</v>
      </c>
      <c r="I106" s="34"/>
      <c r="J106" s="34"/>
      <c r="K106" s="36"/>
      <c r="L106" s="36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40"/>
      <c r="X106" s="34"/>
    </row>
    <row r="107" spans="1:24" ht="15.75">
      <c r="A107" s="29"/>
      <c r="B107" s="34"/>
      <c r="C107" s="34"/>
      <c r="D107" s="34"/>
      <c r="E107" s="32">
        <f>C106-B108</f>
        <v>17.199999999999818</v>
      </c>
      <c r="F107" s="33"/>
      <c r="G107" s="34"/>
      <c r="H107" s="34"/>
      <c r="I107" s="35">
        <f>-G108+G106</f>
        <v>16</v>
      </c>
      <c r="J107" s="35">
        <f>-H108+H106</f>
        <v>16</v>
      </c>
      <c r="K107" s="36">
        <f>+K105</f>
        <v>50</v>
      </c>
      <c r="L107" s="36">
        <f>(E107/K107)*60</f>
        <v>20.63999999999978</v>
      </c>
      <c r="M107" s="37">
        <f>+I107/K107*60</f>
        <v>19.2</v>
      </c>
      <c r="N107" s="37">
        <f>+J107/K107*60</f>
        <v>19.2</v>
      </c>
      <c r="O107" s="37">
        <f>+N107+M107</f>
        <v>38.4</v>
      </c>
      <c r="P107" s="37">
        <f>+(I107+J107)/(O107/60)</f>
        <v>50</v>
      </c>
      <c r="Q107" s="38">
        <f>+Q105</f>
        <v>0.2</v>
      </c>
      <c r="R107" s="37">
        <f>+P107-(P107*Q107)</f>
        <v>40</v>
      </c>
      <c r="S107" s="39">
        <f>+(I107+J107)/R107</f>
        <v>0.8</v>
      </c>
      <c r="T107" s="36">
        <f>+(2*($C$5-$C$6)/(S107*60+$C$8))*$C$9/100</f>
        <v>37.856603773584908</v>
      </c>
      <c r="U107" s="36">
        <f>+T107/2</f>
        <v>18.928301886792454</v>
      </c>
      <c r="V107" s="36">
        <f>+V105</f>
        <v>4</v>
      </c>
      <c r="W107" s="40">
        <f>+U107-V107</f>
        <v>14.928301886792454</v>
      </c>
      <c r="X107" s="33"/>
    </row>
    <row r="108" spans="1:24" ht="16.5" thickBot="1">
      <c r="A108" s="85" t="s">
        <v>85</v>
      </c>
      <c r="B108" s="50">
        <f>1082.1-0.6</f>
        <v>1081.5</v>
      </c>
      <c r="C108" s="50">
        <f>1082.1+0.6</f>
        <v>1082.6999999999998</v>
      </c>
      <c r="D108" s="50">
        <f>((C108-B108)/2)+B108</f>
        <v>1082.0999999999999</v>
      </c>
      <c r="E108" s="48"/>
      <c r="F108" s="49">
        <f>+(C108-B108)*1000</f>
        <v>1199.9999999998181</v>
      </c>
      <c r="G108" s="50">
        <f>+B108+([4]Premissas!$C$109/1000+[4]Premissas!$C$110/1000/2)</f>
        <v>1081.6056699999999</v>
      </c>
      <c r="H108" s="50">
        <f>+C108-([4]Premissas!$C$109/1000+[4]Premissas!$C$110/1000/2)</f>
        <v>1082.5943299999999</v>
      </c>
      <c r="I108" s="51"/>
      <c r="J108" s="51"/>
      <c r="K108" s="52"/>
      <c r="L108" s="52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</row>
    <row r="109" spans="1:24" ht="15.75">
      <c r="A109" s="53">
        <v>17</v>
      </c>
      <c r="B109" s="54" t="s">
        <v>14</v>
      </c>
      <c r="C109" s="54"/>
      <c r="D109" s="55"/>
      <c r="E109" s="55"/>
      <c r="F109" s="56">
        <f>SUM(F74:F108)-F74</f>
        <v>20399.999999996908</v>
      </c>
      <c r="G109" s="35"/>
      <c r="H109" s="35"/>
      <c r="I109" s="34"/>
      <c r="J109" s="34"/>
      <c r="K109" s="36"/>
      <c r="L109" s="36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</row>
    <row r="110" spans="1:24">
      <c r="A110" s="34"/>
      <c r="B110" s="57"/>
      <c r="C110" s="57"/>
      <c r="D110" s="58"/>
      <c r="E110" s="58"/>
      <c r="F110" s="59"/>
      <c r="G110" s="60"/>
      <c r="H110" s="60"/>
      <c r="I110" s="61"/>
      <c r="J110" s="61"/>
      <c r="K110" s="62"/>
      <c r="L110" s="62"/>
      <c r="M110" s="61"/>
      <c r="N110" s="61"/>
      <c r="O110" s="61"/>
      <c r="P110" s="34" t="s">
        <v>64</v>
      </c>
      <c r="Q110" s="34"/>
      <c r="R110" s="34"/>
      <c r="S110" s="34"/>
      <c r="T110" s="34"/>
      <c r="U110" s="36">
        <f>+U87</f>
        <v>10.627118644067734</v>
      </c>
      <c r="V110" s="61"/>
      <c r="W110" s="34"/>
      <c r="X110" s="61"/>
    </row>
    <row r="111" spans="1:24">
      <c r="A111" s="34" t="s">
        <v>157</v>
      </c>
      <c r="B111" s="34"/>
      <c r="C111" s="34"/>
      <c r="D111" s="34"/>
      <c r="E111" s="81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 t="s">
        <v>65</v>
      </c>
      <c r="Q111" s="34"/>
      <c r="R111" s="34"/>
      <c r="S111" s="34"/>
      <c r="T111" s="34"/>
      <c r="U111" s="36">
        <f>+W87</f>
        <v>6.6271186440677337</v>
      </c>
      <c r="V111" s="33"/>
      <c r="W111" s="34"/>
      <c r="X111" s="34"/>
    </row>
    <row r="112" spans="1:24">
      <c r="A112" s="34" t="s">
        <v>66</v>
      </c>
      <c r="B112" s="34"/>
      <c r="C112" s="34"/>
      <c r="D112" s="34"/>
      <c r="E112" s="81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 t="s">
        <v>67</v>
      </c>
      <c r="Q112" s="34"/>
      <c r="R112" s="34"/>
      <c r="S112" s="34"/>
      <c r="T112" s="34"/>
      <c r="U112" s="82">
        <f>+U55</f>
        <v>3218</v>
      </c>
      <c r="V112" s="34"/>
      <c r="W112" s="34"/>
      <c r="X112" s="34"/>
    </row>
    <row r="113" spans="1:24">
      <c r="A113" s="34" t="s">
        <v>159</v>
      </c>
      <c r="B113" s="34"/>
      <c r="C113" s="34"/>
      <c r="D113" s="34"/>
      <c r="E113" s="81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66" t="s">
        <v>68</v>
      </c>
      <c r="Q113" s="66"/>
      <c r="R113" s="66"/>
      <c r="S113" s="66"/>
      <c r="T113" s="66"/>
      <c r="U113" s="86">
        <f>+U56</f>
        <v>330</v>
      </c>
      <c r="V113" s="66"/>
      <c r="W113" s="66"/>
      <c r="X113" s="34"/>
    </row>
    <row r="114" spans="1:24" ht="15.75">
      <c r="A114" s="34"/>
      <c r="B114" s="34"/>
      <c r="C114" s="34"/>
      <c r="D114" s="34"/>
      <c r="E114" s="81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77" t="s">
        <v>69</v>
      </c>
      <c r="Q114" s="77"/>
      <c r="R114" s="77"/>
      <c r="S114" s="77"/>
      <c r="T114" s="77"/>
      <c r="U114" s="79">
        <f>+(U111*U112*U113)/1000000</f>
        <v>7.03760237288129</v>
      </c>
      <c r="V114" s="77"/>
      <c r="W114" s="34"/>
      <c r="X114" s="77"/>
    </row>
    <row r="115" spans="1:24" ht="15.75">
      <c r="A115" s="34"/>
      <c r="B115" s="34"/>
      <c r="C115" s="34"/>
      <c r="D115" s="34"/>
      <c r="E115" s="81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77" t="s">
        <v>69</v>
      </c>
      <c r="Q115" s="77"/>
      <c r="R115" s="77"/>
      <c r="T115" s="78">
        <f>+T58</f>
        <v>0.2</v>
      </c>
      <c r="U115" s="79">
        <f>+U114/(1+T115)</f>
        <v>5.8646686440677422</v>
      </c>
      <c r="V115" s="77" t="s">
        <v>70</v>
      </c>
      <c r="W115" s="34"/>
      <c r="X115" s="77"/>
    </row>
    <row r="116" spans="1:24" ht="15.75">
      <c r="A116" s="71"/>
      <c r="E116" s="72"/>
      <c r="Q116" s="73"/>
      <c r="R116" s="73"/>
      <c r="S116" s="73"/>
      <c r="T116" s="74"/>
      <c r="U116" s="75"/>
      <c r="V116" s="76"/>
      <c r="W116" s="73"/>
      <c r="X116" s="73"/>
    </row>
    <row r="117" spans="1:24" ht="15.75">
      <c r="A117" s="71"/>
      <c r="E117" s="72"/>
      <c r="Q117" s="73"/>
      <c r="R117" s="73"/>
      <c r="S117" s="73"/>
      <c r="T117" s="74"/>
      <c r="U117" s="75"/>
      <c r="V117" s="76"/>
      <c r="W117" s="73"/>
      <c r="X117" s="73"/>
    </row>
    <row r="118" spans="1:24" ht="15.75">
      <c r="A118" s="71"/>
      <c r="E118" s="72"/>
      <c r="Q118" s="73"/>
      <c r="R118" s="73"/>
      <c r="S118" s="73"/>
      <c r="T118" s="74"/>
      <c r="U118" s="75"/>
      <c r="V118" s="76"/>
      <c r="W118" s="73"/>
      <c r="X118" s="73"/>
    </row>
    <row r="119" spans="1:24" ht="15.75">
      <c r="A119" s="34"/>
      <c r="B119" s="109" t="s">
        <v>146</v>
      </c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</row>
    <row r="120" spans="1:24" ht="15.75">
      <c r="A120" s="80"/>
      <c r="B120" s="34" t="s">
        <v>0</v>
      </c>
      <c r="C120" s="81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 t="s">
        <v>1</v>
      </c>
      <c r="Q120" s="34"/>
      <c r="R120" s="34"/>
      <c r="S120" s="34"/>
      <c r="T120" s="34"/>
      <c r="U120" s="34"/>
      <c r="V120" s="34"/>
      <c r="W120" s="34"/>
      <c r="X120" s="34"/>
    </row>
    <row r="121" spans="1:24" ht="15.75">
      <c r="A121" s="80"/>
      <c r="B121" s="81"/>
      <c r="C121" s="82">
        <f>+C64</f>
        <v>1440</v>
      </c>
      <c r="D121" s="34" t="s">
        <v>2</v>
      </c>
      <c r="E121" s="87"/>
      <c r="F121" s="34"/>
      <c r="G121" s="34"/>
      <c r="H121" s="34"/>
      <c r="I121" s="34"/>
      <c r="J121" s="34"/>
      <c r="K121" s="34"/>
      <c r="L121" s="34"/>
      <c r="M121" s="38"/>
      <c r="N121" s="34"/>
      <c r="O121" s="34"/>
      <c r="P121" s="34" t="s">
        <v>3</v>
      </c>
      <c r="Q121" s="34"/>
      <c r="R121" s="34"/>
      <c r="S121" s="34"/>
      <c r="T121" s="34"/>
      <c r="U121" s="38">
        <f>+U64</f>
        <v>0.2</v>
      </c>
      <c r="V121" s="34"/>
      <c r="W121" s="34"/>
      <c r="X121" s="34"/>
    </row>
    <row r="122" spans="1:24" ht="15.75">
      <c r="A122" s="80"/>
      <c r="B122" s="83" t="s">
        <v>4</v>
      </c>
      <c r="C122" s="82">
        <f>+C65</f>
        <v>120</v>
      </c>
      <c r="D122" s="34" t="s">
        <v>5</v>
      </c>
      <c r="E122" s="87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 t="s">
        <v>6</v>
      </c>
      <c r="Q122" s="34"/>
      <c r="R122" s="34"/>
      <c r="S122" s="34"/>
      <c r="T122" s="34"/>
      <c r="U122" s="34">
        <f>+U65</f>
        <v>4</v>
      </c>
      <c r="V122" s="34"/>
      <c r="W122" s="34"/>
      <c r="X122" s="34"/>
    </row>
    <row r="123" spans="1:24" ht="15.75">
      <c r="A123" s="80"/>
      <c r="B123" s="81" t="s">
        <v>7</v>
      </c>
      <c r="C123" s="34"/>
      <c r="D123" s="34"/>
      <c r="E123" s="87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 t="s">
        <v>8</v>
      </c>
      <c r="Q123" s="34"/>
      <c r="R123" s="34"/>
      <c r="S123" s="34"/>
      <c r="T123" s="34"/>
      <c r="U123" s="82">
        <f>+U66</f>
        <v>955</v>
      </c>
      <c r="V123" s="34" t="s">
        <v>9</v>
      </c>
      <c r="W123" s="34"/>
      <c r="X123" s="34"/>
    </row>
    <row r="124" spans="1:24" ht="15.75">
      <c r="A124" s="80"/>
      <c r="B124" s="81" t="s">
        <v>10</v>
      </c>
      <c r="C124" s="34">
        <f>+C67</f>
        <v>5</v>
      </c>
      <c r="D124" s="34" t="s">
        <v>11</v>
      </c>
      <c r="E124" s="87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 t="s">
        <v>12</v>
      </c>
      <c r="Q124" s="34"/>
      <c r="R124" s="34"/>
      <c r="S124" s="34"/>
      <c r="T124" s="34"/>
      <c r="U124" s="82">
        <f>+U67</f>
        <v>1166.3399999999999</v>
      </c>
      <c r="V124" s="34" t="s">
        <v>9</v>
      </c>
      <c r="W124" s="34"/>
      <c r="X124" s="34"/>
    </row>
    <row r="125" spans="1:24" ht="15.75">
      <c r="A125" s="80"/>
      <c r="B125" s="81" t="s">
        <v>13</v>
      </c>
      <c r="C125" s="34">
        <f>+C68</f>
        <v>76</v>
      </c>
      <c r="D125" s="34" t="s">
        <v>144</v>
      </c>
      <c r="E125" s="87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</row>
    <row r="126" spans="1:24" ht="15.75" thickBot="1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</row>
    <row r="127" spans="1:24" ht="15.75">
      <c r="A127" s="118" t="s">
        <v>14</v>
      </c>
      <c r="B127" s="121" t="s">
        <v>15</v>
      </c>
      <c r="C127" s="121"/>
      <c r="D127" s="121"/>
      <c r="E127" s="121"/>
      <c r="F127" s="122" t="s">
        <v>16</v>
      </c>
      <c r="G127" s="121" t="s">
        <v>17</v>
      </c>
      <c r="H127" s="121"/>
      <c r="I127" s="121" t="s">
        <v>18</v>
      </c>
      <c r="J127" s="121"/>
      <c r="K127" s="122" t="s">
        <v>19</v>
      </c>
      <c r="L127" s="122" t="s">
        <v>20</v>
      </c>
      <c r="M127" s="125" t="s">
        <v>21</v>
      </c>
      <c r="N127" s="125"/>
      <c r="O127" s="125"/>
      <c r="P127" s="125"/>
      <c r="Q127" s="9" t="s">
        <v>22</v>
      </c>
      <c r="R127" s="134" t="s">
        <v>23</v>
      </c>
      <c r="S127" s="9" t="s">
        <v>24</v>
      </c>
      <c r="T127" s="136" t="s">
        <v>25</v>
      </c>
      <c r="U127" s="136"/>
      <c r="V127" s="136" t="s">
        <v>26</v>
      </c>
      <c r="W127" s="136"/>
      <c r="X127" s="111" t="s">
        <v>27</v>
      </c>
    </row>
    <row r="128" spans="1:24" ht="15.75">
      <c r="A128" s="119"/>
      <c r="B128" s="114" t="s">
        <v>136</v>
      </c>
      <c r="C128" s="114" t="s">
        <v>137</v>
      </c>
      <c r="D128" s="114" t="s">
        <v>28</v>
      </c>
      <c r="E128" s="116" t="s">
        <v>29</v>
      </c>
      <c r="F128" s="123"/>
      <c r="G128" s="114" t="s">
        <v>30</v>
      </c>
      <c r="H128" s="114" t="s">
        <v>31</v>
      </c>
      <c r="I128" s="114" t="s">
        <v>30</v>
      </c>
      <c r="J128" s="114" t="s">
        <v>31</v>
      </c>
      <c r="K128" s="123"/>
      <c r="L128" s="123"/>
      <c r="M128" s="10" t="s">
        <v>30</v>
      </c>
      <c r="N128" s="10" t="s">
        <v>31</v>
      </c>
      <c r="O128" s="126" t="s">
        <v>32</v>
      </c>
      <c r="P128" s="126"/>
      <c r="Q128" s="11" t="s">
        <v>33</v>
      </c>
      <c r="R128" s="132"/>
      <c r="S128" s="11" t="s">
        <v>34</v>
      </c>
      <c r="T128" s="127" t="s">
        <v>35</v>
      </c>
      <c r="U128" s="128" t="s">
        <v>36</v>
      </c>
      <c r="V128" s="131" t="s">
        <v>37</v>
      </c>
      <c r="W128" s="131" t="s">
        <v>38</v>
      </c>
      <c r="X128" s="112"/>
    </row>
    <row r="129" spans="1:24" ht="15.75">
      <c r="A129" s="119"/>
      <c r="B129" s="115"/>
      <c r="C129" s="115"/>
      <c r="D129" s="115"/>
      <c r="E129" s="117"/>
      <c r="F129" s="124"/>
      <c r="G129" s="115"/>
      <c r="H129" s="115"/>
      <c r="I129" s="115"/>
      <c r="J129" s="115"/>
      <c r="K129" s="124"/>
      <c r="L129" s="124"/>
      <c r="M129" s="10" t="s">
        <v>39</v>
      </c>
      <c r="N129" s="10" t="s">
        <v>40</v>
      </c>
      <c r="O129" s="12" t="s">
        <v>41</v>
      </c>
      <c r="P129" s="12" t="s">
        <v>41</v>
      </c>
      <c r="Q129" s="11" t="s">
        <v>142</v>
      </c>
      <c r="R129" s="135"/>
      <c r="S129" s="13" t="s">
        <v>42</v>
      </c>
      <c r="T129" s="112"/>
      <c r="U129" s="129"/>
      <c r="V129" s="132"/>
      <c r="W129" s="132"/>
      <c r="X129" s="112"/>
    </row>
    <row r="130" spans="1:24" ht="16.5" thickBot="1">
      <c r="A130" s="120"/>
      <c r="B130" s="14" t="s">
        <v>43</v>
      </c>
      <c r="C130" s="14" t="s">
        <v>43</v>
      </c>
      <c r="D130" s="15" t="s">
        <v>43</v>
      </c>
      <c r="E130" s="16" t="s">
        <v>43</v>
      </c>
      <c r="F130" s="15" t="s">
        <v>9</v>
      </c>
      <c r="G130" s="15" t="s">
        <v>43</v>
      </c>
      <c r="H130" s="15" t="s">
        <v>43</v>
      </c>
      <c r="I130" s="15" t="s">
        <v>43</v>
      </c>
      <c r="J130" s="15" t="s">
        <v>43</v>
      </c>
      <c r="K130" s="15" t="s">
        <v>44</v>
      </c>
      <c r="L130" s="15" t="s">
        <v>45</v>
      </c>
      <c r="M130" s="15" t="s">
        <v>45</v>
      </c>
      <c r="N130" s="15" t="s">
        <v>45</v>
      </c>
      <c r="O130" s="17" t="s">
        <v>45</v>
      </c>
      <c r="P130" s="17" t="s">
        <v>44</v>
      </c>
      <c r="Q130" s="17" t="s">
        <v>46</v>
      </c>
      <c r="R130" s="17" t="s">
        <v>44</v>
      </c>
      <c r="S130" s="17" t="s">
        <v>47</v>
      </c>
      <c r="T130" s="113"/>
      <c r="U130" s="130"/>
      <c r="V130" s="133"/>
      <c r="W130" s="133"/>
      <c r="X130" s="113"/>
    </row>
    <row r="131" spans="1:24" ht="15.75">
      <c r="A131" s="88" t="s">
        <v>85</v>
      </c>
      <c r="B131" s="23">
        <f>1082.1-0.6</f>
        <v>1081.5</v>
      </c>
      <c r="C131" s="23">
        <f>1082.1+0.6</f>
        <v>1082.6999999999998</v>
      </c>
      <c r="D131" s="23">
        <f>((C131-B131)/2)+B131</f>
        <v>1082.0999999999999</v>
      </c>
      <c r="E131" s="21"/>
      <c r="F131" s="22">
        <f>+(C131-B131)*1000</f>
        <v>1199.9999999998181</v>
      </c>
      <c r="G131" s="23">
        <f>+B131+([4]Premissas!$C$109/1000+[4]Premissas!$C$110/1000/2)</f>
        <v>1081.6056699999999</v>
      </c>
      <c r="H131" s="23">
        <f>+C131-([4]Premissas!$C$109/1000+[4]Premissas!$C$110/1000/2)</f>
        <v>1082.5943299999999</v>
      </c>
      <c r="I131" s="24"/>
      <c r="J131" s="24"/>
      <c r="K131" s="25"/>
      <c r="L131" s="25"/>
      <c r="M131" s="24"/>
      <c r="N131" s="24"/>
      <c r="O131" s="24"/>
      <c r="P131" s="26"/>
      <c r="Q131" s="27"/>
      <c r="R131" s="26"/>
      <c r="S131" s="28"/>
      <c r="T131" s="25"/>
      <c r="U131" s="25"/>
      <c r="V131" s="25"/>
      <c r="W131" s="84"/>
      <c r="X131" s="24"/>
    </row>
    <row r="132" spans="1:24" ht="15.75">
      <c r="A132" s="29"/>
      <c r="B132" s="34"/>
      <c r="C132" s="34"/>
      <c r="D132" s="34"/>
      <c r="E132" s="32">
        <f>C131-B133</f>
        <v>12.099999999999682</v>
      </c>
      <c r="F132" s="33"/>
      <c r="G132" s="34"/>
      <c r="H132" s="34"/>
      <c r="I132" s="35">
        <f>G131-G133</f>
        <v>10.899999999999864</v>
      </c>
      <c r="J132" s="35">
        <f>H131-H133</f>
        <v>10.899999999999864</v>
      </c>
      <c r="K132" s="36">
        <v>50</v>
      </c>
      <c r="L132" s="36">
        <f>(E132/K132)*60</f>
        <v>14.519999999999618</v>
      </c>
      <c r="M132" s="37">
        <f>+I132/K132*60</f>
        <v>13.079999999999837</v>
      </c>
      <c r="N132" s="37">
        <f>+J132/K132*60</f>
        <v>13.079999999999837</v>
      </c>
      <c r="O132" s="37">
        <f>+N132+M132</f>
        <v>26.159999999999673</v>
      </c>
      <c r="P132" s="37">
        <f>+(I132+J132)/(O132/60)</f>
        <v>50</v>
      </c>
      <c r="Q132" s="38">
        <f>+U121</f>
        <v>0.2</v>
      </c>
      <c r="R132" s="37">
        <f>+P132-(P132*Q132)</f>
        <v>40</v>
      </c>
      <c r="S132" s="39">
        <f>+(I132+J132)/R132</f>
        <v>0.54499999999999316</v>
      </c>
      <c r="T132" s="36">
        <f>+(2*($C$5-$C$6)/(S132*60+$C$8))*$C$9/100</f>
        <v>53.22015915119421</v>
      </c>
      <c r="U132" s="36">
        <f>+T132/2</f>
        <v>26.610079575597105</v>
      </c>
      <c r="V132" s="36">
        <f>+U122</f>
        <v>4</v>
      </c>
      <c r="W132" s="40">
        <f>+U132-V132</f>
        <v>22.610079575597105</v>
      </c>
      <c r="X132" s="33"/>
    </row>
    <row r="133" spans="1:24" ht="15.75">
      <c r="A133" s="41" t="s">
        <v>147</v>
      </c>
      <c r="B133" s="35">
        <f>1071.2-0.6</f>
        <v>1070.6000000000001</v>
      </c>
      <c r="C133" s="35">
        <f>1071.2+0.6</f>
        <v>1071.8</v>
      </c>
      <c r="D133" s="35">
        <f>((C133-B133)/2)+B133</f>
        <v>1071.2</v>
      </c>
      <c r="E133" s="32"/>
      <c r="F133" s="42">
        <f>+(C133-B133)*1000</f>
        <v>1199.9999999998181</v>
      </c>
      <c r="G133" s="35">
        <f>+B133+([4]Premissas!$C$109/1000+[4]Premissas!$C$110/1000/2)</f>
        <v>1070.7056700000001</v>
      </c>
      <c r="H133" s="35">
        <f>+C133-([4]Premissas!$C$109/1000+[4]Premissas!$C$110/1000/2)</f>
        <v>1071.69433</v>
      </c>
      <c r="I133" s="34"/>
      <c r="J133" s="34"/>
      <c r="K133" s="36"/>
      <c r="L133" s="36"/>
      <c r="M133" s="34"/>
      <c r="N133" s="34"/>
      <c r="O133" s="34"/>
      <c r="P133" s="37"/>
      <c r="Q133" s="38"/>
      <c r="R133" s="37"/>
      <c r="S133" s="39"/>
      <c r="T133" s="36"/>
      <c r="U133" s="36"/>
      <c r="V133" s="36"/>
      <c r="W133" s="40"/>
      <c r="X133" s="34"/>
    </row>
    <row r="134" spans="1:24" ht="15.75">
      <c r="A134" s="29"/>
      <c r="B134" s="34"/>
      <c r="C134" s="34"/>
      <c r="D134" s="34"/>
      <c r="E134" s="32">
        <f>C133-B135</f>
        <v>6.8999999999998636</v>
      </c>
      <c r="F134" s="33"/>
      <c r="G134" s="34"/>
      <c r="H134" s="34"/>
      <c r="I134" s="35">
        <f>G133-G135</f>
        <v>5.7000000000000455</v>
      </c>
      <c r="J134" s="35">
        <f>H133-H135</f>
        <v>5.7000000000000455</v>
      </c>
      <c r="K134" s="36">
        <f>+K132</f>
        <v>50</v>
      </c>
      <c r="L134" s="36">
        <f>(E134/K134)*60</f>
        <v>8.2799999999998359</v>
      </c>
      <c r="M134" s="37">
        <f>+I134/K134*60</f>
        <v>6.840000000000054</v>
      </c>
      <c r="N134" s="37">
        <f>+J134/K134*60</f>
        <v>6.840000000000054</v>
      </c>
      <c r="O134" s="37">
        <f>+N134+M134</f>
        <v>13.680000000000108</v>
      </c>
      <c r="P134" s="37">
        <f>+(I134+J134)/(O134/60)</f>
        <v>50</v>
      </c>
      <c r="Q134" s="38">
        <f>+Q132</f>
        <v>0.2</v>
      </c>
      <c r="R134" s="37">
        <f>+P134-(P134*Q134)</f>
        <v>40</v>
      </c>
      <c r="S134" s="39">
        <f>+(I134+J134)/R134</f>
        <v>0.28500000000000225</v>
      </c>
      <c r="T134" s="36">
        <f>+(2*($C$5-$C$6)/(S134*60+$C$8))*$C$9/100</f>
        <v>90.787330316741517</v>
      </c>
      <c r="U134" s="36">
        <f>+T134/2</f>
        <v>45.393665158370759</v>
      </c>
      <c r="V134" s="36">
        <f>+V132</f>
        <v>4</v>
      </c>
      <c r="W134" s="40">
        <f>+U134-V134</f>
        <v>41.393665158370759</v>
      </c>
      <c r="X134" s="45"/>
    </row>
    <row r="135" spans="1:24" ht="15.75">
      <c r="A135" s="29" t="s">
        <v>86</v>
      </c>
      <c r="B135" s="35">
        <f>1065.5-0.6</f>
        <v>1064.9000000000001</v>
      </c>
      <c r="C135" s="35">
        <f>1065.5+0.6</f>
        <v>1066.0999999999999</v>
      </c>
      <c r="D135" s="35">
        <f>((C135-B135)/2)+B135</f>
        <v>1065.5</v>
      </c>
      <c r="E135" s="32"/>
      <c r="F135" s="42">
        <f>+(C135-B135)*1000</f>
        <v>1199.9999999998181</v>
      </c>
      <c r="G135" s="35">
        <f>+B135+([4]Premissas!$C$109/1000+[4]Premissas!$C$110/1000/2)</f>
        <v>1065.00567</v>
      </c>
      <c r="H135" s="35">
        <f>+C135-([4]Premissas!$C$109/1000+[4]Premissas!$C$110/1000/2)</f>
        <v>1065.99433</v>
      </c>
      <c r="I135" s="34"/>
      <c r="J135" s="34"/>
      <c r="K135" s="36"/>
      <c r="L135" s="36"/>
      <c r="M135" s="34"/>
      <c r="N135" s="34"/>
      <c r="O135" s="34"/>
      <c r="P135" s="37"/>
      <c r="Q135" s="38"/>
      <c r="R135" s="37"/>
      <c r="S135" s="39"/>
      <c r="T135" s="36"/>
      <c r="U135" s="34"/>
      <c r="V135" s="36"/>
      <c r="W135" s="40"/>
      <c r="X135" s="34"/>
    </row>
    <row r="136" spans="1:24" ht="15.75">
      <c r="A136" s="29"/>
      <c r="B136" s="34"/>
      <c r="C136" s="34"/>
      <c r="D136" s="34"/>
      <c r="E136" s="32">
        <f>C135-B137</f>
        <v>8.2999999999997272</v>
      </c>
      <c r="F136" s="33"/>
      <c r="G136" s="34"/>
      <c r="H136" s="34"/>
      <c r="I136" s="35">
        <f>G135-G137</f>
        <v>7.0999999999999091</v>
      </c>
      <c r="J136" s="35">
        <f>H135-H137</f>
        <v>7.0999999999999091</v>
      </c>
      <c r="K136" s="36">
        <f>+K134</f>
        <v>50</v>
      </c>
      <c r="L136" s="36">
        <f>(E136/K136)*60</f>
        <v>9.9599999999996722</v>
      </c>
      <c r="M136" s="37">
        <f>+I136/K136*60</f>
        <v>8.5199999999998912</v>
      </c>
      <c r="N136" s="37">
        <f>+J136/K136*60</f>
        <v>8.5199999999998912</v>
      </c>
      <c r="O136" s="37">
        <f>+N136+M136</f>
        <v>17.039999999999782</v>
      </c>
      <c r="P136" s="37">
        <f>+(I136+J136)/(O136/60)</f>
        <v>50</v>
      </c>
      <c r="Q136" s="38">
        <f>+Q134</f>
        <v>0.2</v>
      </c>
      <c r="R136" s="37">
        <f>+P136-(P136*Q136)</f>
        <v>40</v>
      </c>
      <c r="S136" s="39">
        <f>+(I136+J136)/R136</f>
        <v>0.35499999999999543</v>
      </c>
      <c r="T136" s="36">
        <f>+(2*($C$5-$C$6)/(S136*60+$C$8))*$C$9/100</f>
        <v>76.288973384031209</v>
      </c>
      <c r="U136" s="36">
        <f>+T136/2</f>
        <v>38.144486692015604</v>
      </c>
      <c r="V136" s="36">
        <f>+V134</f>
        <v>4</v>
      </c>
      <c r="W136" s="40">
        <f>+U136-V136</f>
        <v>34.144486692015604</v>
      </c>
      <c r="X136" s="33"/>
    </row>
    <row r="137" spans="1:24" ht="15.75">
      <c r="A137" s="29" t="s">
        <v>87</v>
      </c>
      <c r="B137" s="35">
        <f>1058.4-0.6</f>
        <v>1057.8000000000002</v>
      </c>
      <c r="C137" s="35">
        <f>1058.4+0.6</f>
        <v>1059</v>
      </c>
      <c r="D137" s="35">
        <f>((C137-B137)/2)+B137</f>
        <v>1058.4000000000001</v>
      </c>
      <c r="E137" s="32"/>
      <c r="F137" s="42">
        <f>+(C137-B137)*1000</f>
        <v>1199.9999999998181</v>
      </c>
      <c r="G137" s="35">
        <f>+B137+([4]Premissas!$C$109/1000+[4]Premissas!$C$110/1000/2)</f>
        <v>1057.9056700000001</v>
      </c>
      <c r="H137" s="35">
        <f>+C137-([4]Premissas!$C$109/1000+[4]Premissas!$C$110/1000/2)</f>
        <v>1058.8943300000001</v>
      </c>
      <c r="I137" s="34"/>
      <c r="J137" s="34"/>
      <c r="K137" s="36"/>
      <c r="L137" s="36"/>
      <c r="M137" s="34"/>
      <c r="N137" s="34"/>
      <c r="O137" s="34"/>
      <c r="P137" s="37"/>
      <c r="Q137" s="38"/>
      <c r="R137" s="37"/>
      <c r="S137" s="39"/>
      <c r="T137" s="36"/>
      <c r="U137" s="36"/>
      <c r="V137" s="36"/>
      <c r="W137" s="40"/>
      <c r="X137" s="34"/>
    </row>
    <row r="138" spans="1:24" ht="15.75">
      <c r="A138" s="29"/>
      <c r="B138" s="34"/>
      <c r="C138" s="34"/>
      <c r="D138" s="34"/>
      <c r="E138" s="32">
        <f>C137-B139</f>
        <v>15.399999999999864</v>
      </c>
      <c r="F138" s="33"/>
      <c r="G138" s="34"/>
      <c r="H138" s="34"/>
      <c r="I138" s="35">
        <f>G137-G139</f>
        <v>14.200000000000045</v>
      </c>
      <c r="J138" s="35">
        <f>H137-H139</f>
        <v>14.200000000000045</v>
      </c>
      <c r="K138" s="36">
        <f>+K136</f>
        <v>50</v>
      </c>
      <c r="L138" s="36">
        <f>(E138/K138)*60</f>
        <v>18.479999999999837</v>
      </c>
      <c r="M138" s="37">
        <f>+I138/K138*60</f>
        <v>17.040000000000056</v>
      </c>
      <c r="N138" s="37">
        <f>+J138/K138*60</f>
        <v>17.040000000000056</v>
      </c>
      <c r="O138" s="37">
        <f>+N138+M138</f>
        <v>34.080000000000112</v>
      </c>
      <c r="P138" s="37">
        <f>+(I138+J138)/(O138/60)</f>
        <v>50</v>
      </c>
      <c r="Q138" s="38">
        <f>+Q136</f>
        <v>0.2</v>
      </c>
      <c r="R138" s="37">
        <f>+P138-(P138*Q138)</f>
        <v>40</v>
      </c>
      <c r="S138" s="39">
        <f>+(I138+J138)/R138</f>
        <v>0.7100000000000023</v>
      </c>
      <c r="T138" s="36">
        <f>+(2*($C$5-$C$6)/(S138*60+$C$8))*$C$9/100</f>
        <v>42.151260504201552</v>
      </c>
      <c r="U138" s="36">
        <f>+T138/2</f>
        <v>21.075630252100776</v>
      </c>
      <c r="V138" s="36">
        <f>+V136</f>
        <v>4</v>
      </c>
      <c r="W138" s="40">
        <f>+U138-V138</f>
        <v>17.075630252100776</v>
      </c>
      <c r="X138" s="33">
        <f>+W138</f>
        <v>17.075630252100776</v>
      </c>
    </row>
    <row r="139" spans="1:24" ht="15.75">
      <c r="A139" s="29" t="s">
        <v>88</v>
      </c>
      <c r="B139" s="35">
        <f>1044.2-0.6</f>
        <v>1043.6000000000001</v>
      </c>
      <c r="C139" s="35">
        <f>1044.2+0.6</f>
        <v>1044.8</v>
      </c>
      <c r="D139" s="35">
        <f>((C139-B139)/2)+B139</f>
        <v>1044.2</v>
      </c>
      <c r="E139" s="32"/>
      <c r="F139" s="42">
        <f>+(C139-B139)*1000</f>
        <v>1199.9999999998181</v>
      </c>
      <c r="G139" s="35">
        <f>+B139+([4]Premissas!$C$109/1000+[4]Premissas!$C$110/1000/2)</f>
        <v>1043.7056700000001</v>
      </c>
      <c r="H139" s="35">
        <f>+C139-([4]Premissas!$C$109/1000+[4]Premissas!$C$110/1000/2)</f>
        <v>1044.69433</v>
      </c>
      <c r="I139" s="34"/>
      <c r="J139" s="34"/>
      <c r="K139" s="36"/>
      <c r="L139" s="36"/>
      <c r="M139" s="34"/>
      <c r="N139" s="34"/>
      <c r="O139" s="34"/>
      <c r="P139" s="37"/>
      <c r="Q139" s="38"/>
      <c r="R139" s="37"/>
      <c r="S139" s="39"/>
      <c r="T139" s="36"/>
      <c r="U139" s="36"/>
      <c r="V139" s="36"/>
      <c r="W139" s="40"/>
      <c r="X139" s="34"/>
    </row>
    <row r="140" spans="1:24" ht="15.75">
      <c r="A140" s="29"/>
      <c r="B140" s="34"/>
      <c r="C140" s="34"/>
      <c r="D140" s="34"/>
      <c r="E140" s="32">
        <f>C139-B141</f>
        <v>15.299999999999955</v>
      </c>
      <c r="F140" s="33"/>
      <c r="G140" s="34"/>
      <c r="H140" s="34"/>
      <c r="I140" s="35">
        <f>G139-G141</f>
        <v>14.100000000000136</v>
      </c>
      <c r="J140" s="35">
        <f>H139-H141</f>
        <v>14.100000000000136</v>
      </c>
      <c r="K140" s="36">
        <f>+K138</f>
        <v>50</v>
      </c>
      <c r="L140" s="36">
        <f>(E140/K140)*60</f>
        <v>18.359999999999946</v>
      </c>
      <c r="M140" s="37">
        <f>+I140/K140*60</f>
        <v>16.920000000000165</v>
      </c>
      <c r="N140" s="37">
        <f>+J140/K140*60</f>
        <v>16.920000000000165</v>
      </c>
      <c r="O140" s="37">
        <f>+N140+M140</f>
        <v>33.84000000000033</v>
      </c>
      <c r="P140" s="37">
        <f>+(I140+J140)/(O140/60)</f>
        <v>50</v>
      </c>
      <c r="Q140" s="38">
        <f>+Q138</f>
        <v>0.2</v>
      </c>
      <c r="R140" s="37">
        <f>+P140-(P140*Q140)</f>
        <v>40</v>
      </c>
      <c r="S140" s="39">
        <f>+(I140+J140)/R140</f>
        <v>0.70500000000000684</v>
      </c>
      <c r="T140" s="36">
        <f>+(2*($C$5-$C$6)/(S140*60+$C$8))*$C$9/100</f>
        <v>42.418604651162426</v>
      </c>
      <c r="U140" s="36">
        <f>+T140/2</f>
        <v>21.209302325581213</v>
      </c>
      <c r="V140" s="36">
        <f>+V138</f>
        <v>4</v>
      </c>
      <c r="W140" s="40">
        <f>+U140-V140</f>
        <v>17.209302325581213</v>
      </c>
      <c r="X140" s="33"/>
    </row>
    <row r="141" spans="1:24" ht="15.75">
      <c r="A141" s="29" t="s">
        <v>89</v>
      </c>
      <c r="B141" s="35">
        <f>1030.1-0.6</f>
        <v>1029.5</v>
      </c>
      <c r="C141" s="35">
        <f>1030.1+0.6</f>
        <v>1030.6999999999998</v>
      </c>
      <c r="D141" s="35">
        <f>((C141-B141)/2)+B141</f>
        <v>1030.0999999999999</v>
      </c>
      <c r="E141" s="32"/>
      <c r="F141" s="42">
        <f>+(C141-B141)*1000</f>
        <v>1199.9999999998181</v>
      </c>
      <c r="G141" s="35">
        <f>+B141+([4]Premissas!$C$109/1000+[4]Premissas!$C$110/1000/2)</f>
        <v>1029.6056699999999</v>
      </c>
      <c r="H141" s="35">
        <f>+C141-([4]Premissas!$C$109/1000+[4]Premissas!$C$110/1000/2)</f>
        <v>1030.5943299999999</v>
      </c>
      <c r="I141" s="34"/>
      <c r="J141" s="34"/>
      <c r="K141" s="36"/>
      <c r="L141" s="36"/>
      <c r="M141" s="34"/>
      <c r="N141" s="34"/>
      <c r="O141" s="34"/>
      <c r="P141" s="37"/>
      <c r="Q141" s="38"/>
      <c r="R141" s="37"/>
      <c r="S141" s="39"/>
      <c r="T141" s="36"/>
      <c r="U141" s="36"/>
      <c r="V141" s="36"/>
      <c r="W141" s="40"/>
      <c r="X141" s="34"/>
    </row>
    <row r="142" spans="1:24" ht="15.75">
      <c r="A142" s="29"/>
      <c r="B142" s="34"/>
      <c r="C142" s="34"/>
      <c r="D142" s="34"/>
      <c r="E142" s="32">
        <f>C141-B143</f>
        <v>18.499999999999886</v>
      </c>
      <c r="F142" s="33"/>
      <c r="G142" s="34"/>
      <c r="H142" s="34"/>
      <c r="I142" s="35">
        <f>G141-G143</f>
        <v>17.299999999999955</v>
      </c>
      <c r="J142" s="35">
        <f>H141-H143</f>
        <v>17.299999999999955</v>
      </c>
      <c r="K142" s="36">
        <f>+K140</f>
        <v>50</v>
      </c>
      <c r="L142" s="36">
        <f>(E142/K142)*60</f>
        <v>22.199999999999864</v>
      </c>
      <c r="M142" s="37">
        <f>+I142/K142*60</f>
        <v>20.759999999999945</v>
      </c>
      <c r="N142" s="37">
        <f>+J142/K142*60</f>
        <v>20.759999999999945</v>
      </c>
      <c r="O142" s="37">
        <f>+N142+M142</f>
        <v>41.519999999999889</v>
      </c>
      <c r="P142" s="37">
        <f>+(I142+J142)/(O142/60)</f>
        <v>50</v>
      </c>
      <c r="Q142" s="38">
        <f>+Q140</f>
        <v>0.2</v>
      </c>
      <c r="R142" s="37">
        <f>+P142-(P142*Q142)</f>
        <v>40</v>
      </c>
      <c r="S142" s="39">
        <f>+(I142+J142)/R142</f>
        <v>0.86499999999999777</v>
      </c>
      <c r="T142" s="36">
        <f>+(2*($C$5-$C$6)/(S142*60+$C$8))*$C$9/100</f>
        <v>35.261862917399029</v>
      </c>
      <c r="U142" s="36">
        <f>+T142/2</f>
        <v>17.630931458699514</v>
      </c>
      <c r="V142" s="36">
        <f>+V140</f>
        <v>4</v>
      </c>
      <c r="W142" s="40">
        <f>+U142-V142</f>
        <v>13.630931458699514</v>
      </c>
      <c r="X142" s="33"/>
    </row>
    <row r="143" spans="1:24" ht="15.75">
      <c r="A143" s="29" t="s">
        <v>90</v>
      </c>
      <c r="B143" s="35">
        <f>1012.8-0.6</f>
        <v>1012.1999999999999</v>
      </c>
      <c r="C143" s="35">
        <f>1012.8+0.6</f>
        <v>1013.4</v>
      </c>
      <c r="D143" s="35">
        <f>((C143-B143)/2)+B143</f>
        <v>1012.8</v>
      </c>
      <c r="E143" s="32"/>
      <c r="F143" s="42">
        <f>+(C143-B143)*1000</f>
        <v>1200.0000000000455</v>
      </c>
      <c r="G143" s="35">
        <f>+B143+([4]Premissas!$C$109/1000+[4]Premissas!$C$110/1000/2)</f>
        <v>1012.30567</v>
      </c>
      <c r="H143" s="35">
        <f>+C143-([4]Premissas!$C$109/1000+[4]Premissas!$C$110/1000/2)</f>
        <v>1013.2943299999999</v>
      </c>
      <c r="I143" s="34"/>
      <c r="J143" s="34"/>
      <c r="K143" s="36"/>
      <c r="L143" s="36"/>
      <c r="M143" s="34"/>
      <c r="N143" s="34"/>
      <c r="O143" s="34"/>
      <c r="P143" s="37"/>
      <c r="Q143" s="38"/>
      <c r="R143" s="37"/>
      <c r="S143" s="34"/>
      <c r="T143" s="36"/>
      <c r="U143" s="36"/>
      <c r="V143" s="36"/>
      <c r="W143" s="40"/>
      <c r="X143" s="34"/>
    </row>
    <row r="144" spans="1:24" ht="15.75">
      <c r="A144" s="29"/>
      <c r="B144" s="34"/>
      <c r="C144" s="34"/>
      <c r="D144" s="34"/>
      <c r="E144" s="32">
        <f>C143-B145</f>
        <v>22.200000000000045</v>
      </c>
      <c r="F144" s="33"/>
      <c r="G144" s="34"/>
      <c r="H144" s="34"/>
      <c r="I144" s="35">
        <f>G143-G145</f>
        <v>21</v>
      </c>
      <c r="J144" s="35">
        <f>H143-H145</f>
        <v>21</v>
      </c>
      <c r="K144" s="36">
        <f>+K142</f>
        <v>50</v>
      </c>
      <c r="L144" s="36">
        <f>(E144/K144)*60</f>
        <v>26.640000000000054</v>
      </c>
      <c r="M144" s="37">
        <f>+I144/K144*60</f>
        <v>25.2</v>
      </c>
      <c r="N144" s="37">
        <f>+J144/K144*60</f>
        <v>25.2</v>
      </c>
      <c r="O144" s="37">
        <f>+N144+M144</f>
        <v>50.4</v>
      </c>
      <c r="P144" s="37">
        <f>+(I144+J144)/(O144/60)</f>
        <v>50</v>
      </c>
      <c r="Q144" s="38">
        <f>+Q142</f>
        <v>0.2</v>
      </c>
      <c r="R144" s="37">
        <f>+P144-(P144*Q144)</f>
        <v>40</v>
      </c>
      <c r="S144" s="39">
        <f>+(I144+J144)/R144</f>
        <v>1.05</v>
      </c>
      <c r="T144" s="36">
        <f>+(2*($C$5-$C$6)/(S144*60+$C$8))*$C$9/100</f>
        <v>29.505882352941175</v>
      </c>
      <c r="U144" s="36">
        <f>+T144/2</f>
        <v>14.752941176470587</v>
      </c>
      <c r="V144" s="36">
        <f>+V142</f>
        <v>4</v>
      </c>
      <c r="W144" s="40">
        <f>+U144-V144</f>
        <v>10.752941176470587</v>
      </c>
      <c r="X144" s="33"/>
    </row>
    <row r="145" spans="1:24" ht="15.75">
      <c r="A145" s="29" t="s">
        <v>91</v>
      </c>
      <c r="B145" s="35">
        <f>991.8-0.6</f>
        <v>991.19999999999993</v>
      </c>
      <c r="C145" s="35">
        <f>991.8+0.6</f>
        <v>992.4</v>
      </c>
      <c r="D145" s="35">
        <f>((C145-B145)/2)+B145</f>
        <v>991.8</v>
      </c>
      <c r="E145" s="32"/>
      <c r="F145" s="42">
        <f>+(C145-B145)*1000</f>
        <v>1200.0000000000455</v>
      </c>
      <c r="G145" s="35">
        <f>+B145+([4]Premissas!$C$109/1000+[4]Premissas!$C$110/1000/2)</f>
        <v>991.30566999999996</v>
      </c>
      <c r="H145" s="35">
        <f>+C145-([4]Premissas!$C$109/1000+[4]Premissas!$C$110/1000/2)</f>
        <v>992.29432999999995</v>
      </c>
      <c r="I145" s="34"/>
      <c r="J145" s="34"/>
      <c r="K145" s="36"/>
      <c r="L145" s="36"/>
      <c r="M145" s="34"/>
      <c r="N145" s="34"/>
      <c r="O145" s="34"/>
      <c r="P145" s="37"/>
      <c r="Q145" s="34"/>
      <c r="R145" s="37"/>
      <c r="S145" s="34"/>
      <c r="T145" s="34"/>
      <c r="U145" s="34"/>
      <c r="V145" s="36"/>
      <c r="W145" s="40"/>
      <c r="X145" s="34"/>
    </row>
    <row r="146" spans="1:24" ht="15.75">
      <c r="A146" s="29"/>
      <c r="B146" s="34"/>
      <c r="C146" s="34"/>
      <c r="D146" s="34"/>
      <c r="E146" s="32">
        <f>C145-B147</f>
        <v>16.5</v>
      </c>
      <c r="F146" s="33"/>
      <c r="G146" s="34"/>
      <c r="H146" s="34"/>
      <c r="I146" s="35">
        <f>G145-G147</f>
        <v>15.299999999999955</v>
      </c>
      <c r="J146" s="35">
        <f>H145-H147</f>
        <v>15.299999999999955</v>
      </c>
      <c r="K146" s="36">
        <f>+K144</f>
        <v>50</v>
      </c>
      <c r="L146" s="36">
        <f>(E146/K146)*60</f>
        <v>19.8</v>
      </c>
      <c r="M146" s="37">
        <f>+I146/K146*60</f>
        <v>18.359999999999946</v>
      </c>
      <c r="N146" s="37">
        <f>+J146/K146*60</f>
        <v>18.359999999999946</v>
      </c>
      <c r="O146" s="37">
        <f>+N146+M146</f>
        <v>36.719999999999892</v>
      </c>
      <c r="P146" s="37">
        <f>+(I146+J146)/(O146/60)</f>
        <v>50</v>
      </c>
      <c r="Q146" s="38">
        <f>+Q144</f>
        <v>0.2</v>
      </c>
      <c r="R146" s="37">
        <f>+P146-(P146*Q146)</f>
        <v>40</v>
      </c>
      <c r="S146" s="39">
        <f>+(I146+J146)/R146</f>
        <v>0.76499999999999768</v>
      </c>
      <c r="T146" s="36">
        <f>+(2*($C$5-$C$6)/(S146*60+$C$8))*$C$9/100</f>
        <v>39.418467583497161</v>
      </c>
      <c r="U146" s="36">
        <f>+T146/2</f>
        <v>19.709233791748581</v>
      </c>
      <c r="V146" s="36">
        <f>+V144</f>
        <v>4</v>
      </c>
      <c r="W146" s="40">
        <f>+U146-V146</f>
        <v>15.709233791748581</v>
      </c>
      <c r="X146" s="33"/>
    </row>
    <row r="147" spans="1:24" ht="16.5" thickBot="1">
      <c r="A147" s="46" t="s">
        <v>148</v>
      </c>
      <c r="B147" s="50">
        <f>976.5-0.6</f>
        <v>975.9</v>
      </c>
      <c r="C147" s="50">
        <f>976.5+0.6</f>
        <v>977.1</v>
      </c>
      <c r="D147" s="50">
        <f>((C147-B147)/2)+B147</f>
        <v>976.5</v>
      </c>
      <c r="E147" s="48"/>
      <c r="F147" s="49">
        <f>+(C147-B147)*1000</f>
        <v>1200.0000000000455</v>
      </c>
      <c r="G147" s="50">
        <f>+B147+([4]Premissas!$C$109/1000+[4]Premissas!$C$110/1000/2)</f>
        <v>976.00567000000001</v>
      </c>
      <c r="H147" s="50">
        <f>+C147-([4]Premissas!$C$109/1000+[4]Premissas!$C$110/1000/2)</f>
        <v>976.99432999999999</v>
      </c>
      <c r="I147" s="50"/>
      <c r="J147" s="50"/>
      <c r="K147" s="52"/>
      <c r="L147" s="52"/>
      <c r="M147" s="51"/>
      <c r="N147" s="51"/>
      <c r="O147" s="51"/>
      <c r="P147" s="89"/>
      <c r="Q147" s="51"/>
      <c r="R147" s="89"/>
      <c r="S147" s="51"/>
      <c r="T147" s="51"/>
      <c r="U147" s="51"/>
      <c r="V147" s="51"/>
      <c r="W147" s="90"/>
      <c r="X147" s="51"/>
    </row>
    <row r="148" spans="1:24" ht="15.75">
      <c r="A148" s="53">
        <v>8</v>
      </c>
      <c r="B148" s="54" t="s">
        <v>14</v>
      </c>
      <c r="C148" s="54"/>
      <c r="D148" s="55"/>
      <c r="E148" s="55"/>
      <c r="F148" s="56">
        <f>SUM(F131:F147)-F131</f>
        <v>9599.9999999992269</v>
      </c>
      <c r="G148" s="35"/>
      <c r="H148" s="35"/>
      <c r="I148" s="34"/>
      <c r="J148" s="34"/>
      <c r="K148" s="36"/>
      <c r="L148" s="36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</row>
    <row r="149" spans="1:24">
      <c r="A149" s="34"/>
      <c r="B149" s="57"/>
      <c r="C149" s="57"/>
      <c r="D149" s="58"/>
      <c r="E149" s="58"/>
      <c r="F149" s="59"/>
      <c r="G149" s="60"/>
      <c r="H149" s="60"/>
      <c r="I149" s="61"/>
      <c r="J149" s="61"/>
      <c r="K149" s="62"/>
      <c r="L149" s="62"/>
      <c r="M149" s="61"/>
      <c r="N149" s="61"/>
      <c r="O149" s="61"/>
      <c r="P149" s="34" t="s">
        <v>64</v>
      </c>
      <c r="Q149" s="34"/>
      <c r="R149" s="34"/>
      <c r="S149" s="34"/>
      <c r="T149" s="34"/>
      <c r="U149" s="36">
        <f>U138</f>
        <v>21.075630252100776</v>
      </c>
      <c r="V149" s="61"/>
      <c r="W149" s="34"/>
      <c r="X149" s="61"/>
    </row>
    <row r="150" spans="1:24">
      <c r="A150" s="34" t="s">
        <v>157</v>
      </c>
      <c r="B150" s="34"/>
      <c r="C150" s="34"/>
      <c r="D150" s="34"/>
      <c r="E150" s="81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 t="s">
        <v>65</v>
      </c>
      <c r="Q150" s="34"/>
      <c r="R150" s="34"/>
      <c r="S150" s="34"/>
      <c r="T150" s="34"/>
      <c r="U150" s="36">
        <f>W138</f>
        <v>17.075630252100776</v>
      </c>
      <c r="V150" s="33"/>
      <c r="W150" s="34"/>
      <c r="X150" s="34"/>
    </row>
    <row r="151" spans="1:24">
      <c r="A151" s="34" t="s">
        <v>66</v>
      </c>
      <c r="B151" s="34"/>
      <c r="C151" s="34"/>
      <c r="D151" s="34"/>
      <c r="E151" s="81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 t="s">
        <v>67</v>
      </c>
      <c r="Q151" s="34"/>
      <c r="R151" s="34"/>
      <c r="S151" s="34"/>
      <c r="T151" s="34"/>
      <c r="U151" s="82">
        <f>+U112</f>
        <v>3218</v>
      </c>
      <c r="V151" s="34"/>
      <c r="W151" s="34"/>
      <c r="X151" s="34"/>
    </row>
    <row r="152" spans="1:24">
      <c r="A152" s="34" t="s">
        <v>159</v>
      </c>
      <c r="B152" s="34"/>
      <c r="C152" s="34"/>
      <c r="D152" s="34"/>
      <c r="E152" s="81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66" t="s">
        <v>68</v>
      </c>
      <c r="Q152" s="66"/>
      <c r="R152" s="66"/>
      <c r="S152" s="66"/>
      <c r="T152" s="66"/>
      <c r="U152" s="86">
        <f>+U113</f>
        <v>330</v>
      </c>
      <c r="V152" s="66"/>
      <c r="W152" s="66"/>
      <c r="X152" s="34"/>
    </row>
    <row r="153" spans="1:24" ht="15.75">
      <c r="A153" s="34"/>
      <c r="B153" s="34"/>
      <c r="C153" s="34"/>
      <c r="D153" s="34"/>
      <c r="E153" s="81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77" t="s">
        <v>69</v>
      </c>
      <c r="Q153" s="77"/>
      <c r="R153" s="77"/>
      <c r="S153" s="77"/>
      <c r="T153" s="77"/>
      <c r="U153" s="79">
        <f>+(U150*U151*U152)/1000000</f>
        <v>18.133294789915897</v>
      </c>
      <c r="V153" s="77"/>
      <c r="W153" s="34"/>
      <c r="X153" s="77"/>
    </row>
    <row r="154" spans="1:24" ht="15.75">
      <c r="A154" s="34"/>
      <c r="B154" s="34"/>
      <c r="C154" s="34"/>
      <c r="D154" s="34"/>
      <c r="E154" s="81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77" t="s">
        <v>69</v>
      </c>
      <c r="Q154" s="77"/>
      <c r="R154" s="77"/>
      <c r="T154" s="78">
        <f>+T115</f>
        <v>0.2</v>
      </c>
      <c r="U154" s="79">
        <f>+U153/(1+T154)</f>
        <v>15.111078991596582</v>
      </c>
      <c r="V154" s="77" t="s">
        <v>70</v>
      </c>
      <c r="W154" s="34"/>
      <c r="X154" s="77"/>
    </row>
    <row r="155" spans="1:24" ht="15.75">
      <c r="A155" s="71"/>
      <c r="E155" s="72"/>
      <c r="Q155" s="73"/>
      <c r="R155" s="73"/>
      <c r="S155" s="75"/>
      <c r="T155" s="74"/>
      <c r="U155" s="75"/>
      <c r="V155" s="76"/>
      <c r="W155" s="73"/>
      <c r="X155" s="73"/>
    </row>
    <row r="157" spans="1:24" ht="15.75">
      <c r="A157" s="34"/>
      <c r="B157" s="109" t="s">
        <v>149</v>
      </c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</row>
    <row r="158" spans="1:24" ht="15.75">
      <c r="A158" s="91"/>
      <c r="B158" s="91"/>
      <c r="C158" s="91"/>
      <c r="D158" s="91"/>
      <c r="E158" s="91"/>
      <c r="F158" s="91"/>
      <c r="G158" s="91"/>
      <c r="H158" s="91"/>
      <c r="I158" s="91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</row>
    <row r="159" spans="1:24" ht="15.75">
      <c r="A159" s="91"/>
      <c r="B159" s="34" t="s">
        <v>0</v>
      </c>
      <c r="C159" s="81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 t="s">
        <v>1</v>
      </c>
      <c r="Q159" s="34"/>
      <c r="R159" s="34"/>
      <c r="S159" s="34"/>
      <c r="T159" s="34"/>
      <c r="U159" s="34"/>
      <c r="V159" s="34"/>
      <c r="W159" s="34"/>
      <c r="X159" s="34"/>
    </row>
    <row r="160" spans="1:24" ht="15.75">
      <c r="A160" s="91"/>
      <c r="B160" s="81"/>
      <c r="C160" s="82">
        <v>1440</v>
      </c>
      <c r="D160" s="34" t="s">
        <v>2</v>
      </c>
      <c r="E160" s="87"/>
      <c r="F160" s="34"/>
      <c r="G160" s="34"/>
      <c r="H160" s="34"/>
      <c r="I160" s="34"/>
      <c r="J160" s="34"/>
      <c r="K160" s="34"/>
      <c r="L160" s="34"/>
      <c r="M160" s="38"/>
      <c r="N160" s="34"/>
      <c r="O160" s="34"/>
      <c r="P160" s="34" t="s">
        <v>3</v>
      </c>
      <c r="Q160" s="34"/>
      <c r="R160" s="34"/>
      <c r="S160" s="34"/>
      <c r="T160" s="34"/>
      <c r="U160" s="38">
        <f>+U121</f>
        <v>0.2</v>
      </c>
      <c r="V160" s="34"/>
      <c r="W160" s="34"/>
      <c r="X160" s="34"/>
    </row>
    <row r="161" spans="1:24" ht="15.75">
      <c r="A161" s="91"/>
      <c r="B161" s="83" t="s">
        <v>4</v>
      </c>
      <c r="C161" s="82">
        <f>+C122</f>
        <v>120</v>
      </c>
      <c r="D161" s="34" t="s">
        <v>5</v>
      </c>
      <c r="E161" s="87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 t="s">
        <v>6</v>
      </c>
      <c r="Q161" s="34"/>
      <c r="R161" s="34"/>
      <c r="S161" s="34"/>
      <c r="T161" s="34"/>
      <c r="U161" s="34">
        <f>+U122</f>
        <v>4</v>
      </c>
      <c r="V161" s="34"/>
      <c r="W161" s="34"/>
      <c r="X161" s="34"/>
    </row>
    <row r="162" spans="1:24" ht="15.75">
      <c r="A162" s="91"/>
      <c r="B162" s="81" t="s">
        <v>7</v>
      </c>
      <c r="C162" s="34"/>
      <c r="D162" s="34"/>
      <c r="E162" s="87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 t="s">
        <v>8</v>
      </c>
      <c r="Q162" s="34"/>
      <c r="R162" s="34"/>
      <c r="S162" s="34"/>
      <c r="T162" s="34"/>
      <c r="U162" s="82">
        <f>+U123</f>
        <v>955</v>
      </c>
      <c r="V162" s="34" t="s">
        <v>9</v>
      </c>
      <c r="W162" s="34"/>
      <c r="X162" s="34"/>
    </row>
    <row r="163" spans="1:24" ht="15.75">
      <c r="A163" s="91"/>
      <c r="B163" s="81" t="s">
        <v>10</v>
      </c>
      <c r="C163" s="34">
        <f>+C124</f>
        <v>5</v>
      </c>
      <c r="D163" s="34" t="s">
        <v>11</v>
      </c>
      <c r="E163" s="87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 t="s">
        <v>12</v>
      </c>
      <c r="Q163" s="34"/>
      <c r="R163" s="34"/>
      <c r="S163" s="34"/>
      <c r="T163" s="34"/>
      <c r="U163" s="82">
        <f>+U124</f>
        <v>1166.3399999999999</v>
      </c>
      <c r="V163" s="34" t="s">
        <v>9</v>
      </c>
      <c r="W163" s="34"/>
      <c r="X163" s="34"/>
    </row>
    <row r="164" spans="1:24" ht="15.75">
      <c r="A164" s="91"/>
      <c r="B164" s="81" t="s">
        <v>13</v>
      </c>
      <c r="C164" s="37">
        <f>+C125</f>
        <v>76</v>
      </c>
      <c r="D164" s="34" t="s">
        <v>144</v>
      </c>
      <c r="E164" s="87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82"/>
      <c r="V164" s="34"/>
      <c r="W164" s="34"/>
      <c r="X164" s="34"/>
    </row>
    <row r="165" spans="1:24" ht="15.75" thickBot="1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</row>
    <row r="166" spans="1:24" ht="15.75">
      <c r="A166" s="118" t="s">
        <v>14</v>
      </c>
      <c r="B166" s="121" t="s">
        <v>15</v>
      </c>
      <c r="C166" s="121"/>
      <c r="D166" s="121"/>
      <c r="E166" s="121"/>
      <c r="F166" s="122" t="s">
        <v>16</v>
      </c>
      <c r="G166" s="121" t="s">
        <v>17</v>
      </c>
      <c r="H166" s="121"/>
      <c r="I166" s="121" t="s">
        <v>18</v>
      </c>
      <c r="J166" s="121"/>
      <c r="K166" s="122" t="s">
        <v>19</v>
      </c>
      <c r="L166" s="122" t="s">
        <v>20</v>
      </c>
      <c r="M166" s="125" t="s">
        <v>21</v>
      </c>
      <c r="N166" s="125"/>
      <c r="O166" s="125"/>
      <c r="P166" s="125"/>
      <c r="Q166" s="9" t="s">
        <v>22</v>
      </c>
      <c r="R166" s="134" t="s">
        <v>23</v>
      </c>
      <c r="S166" s="9" t="s">
        <v>24</v>
      </c>
      <c r="T166" s="136" t="s">
        <v>25</v>
      </c>
      <c r="U166" s="136"/>
      <c r="V166" s="136" t="s">
        <v>26</v>
      </c>
      <c r="W166" s="136"/>
      <c r="X166" s="111" t="s">
        <v>27</v>
      </c>
    </row>
    <row r="167" spans="1:24" ht="15.75">
      <c r="A167" s="119"/>
      <c r="B167" s="114" t="s">
        <v>136</v>
      </c>
      <c r="C167" s="114" t="s">
        <v>137</v>
      </c>
      <c r="D167" s="114" t="s">
        <v>28</v>
      </c>
      <c r="E167" s="116" t="s">
        <v>29</v>
      </c>
      <c r="F167" s="123"/>
      <c r="G167" s="114" t="s">
        <v>30</v>
      </c>
      <c r="H167" s="114" t="s">
        <v>31</v>
      </c>
      <c r="I167" s="114" t="s">
        <v>30</v>
      </c>
      <c r="J167" s="114" t="s">
        <v>31</v>
      </c>
      <c r="K167" s="123"/>
      <c r="L167" s="123"/>
      <c r="M167" s="10" t="s">
        <v>30</v>
      </c>
      <c r="N167" s="10" t="s">
        <v>31</v>
      </c>
      <c r="O167" s="126" t="s">
        <v>32</v>
      </c>
      <c r="P167" s="126"/>
      <c r="Q167" s="11" t="s">
        <v>33</v>
      </c>
      <c r="R167" s="132"/>
      <c r="S167" s="11" t="s">
        <v>34</v>
      </c>
      <c r="T167" s="127" t="s">
        <v>35</v>
      </c>
      <c r="U167" s="128" t="s">
        <v>36</v>
      </c>
      <c r="V167" s="131" t="s">
        <v>37</v>
      </c>
      <c r="W167" s="131" t="s">
        <v>38</v>
      </c>
      <c r="X167" s="112"/>
    </row>
    <row r="168" spans="1:24" ht="15.75">
      <c r="A168" s="119"/>
      <c r="B168" s="115"/>
      <c r="C168" s="115"/>
      <c r="D168" s="115"/>
      <c r="E168" s="117"/>
      <c r="F168" s="124"/>
      <c r="G168" s="115"/>
      <c r="H168" s="115"/>
      <c r="I168" s="115"/>
      <c r="J168" s="115"/>
      <c r="K168" s="124"/>
      <c r="L168" s="124"/>
      <c r="M168" s="10" t="s">
        <v>39</v>
      </c>
      <c r="N168" s="10" t="s">
        <v>40</v>
      </c>
      <c r="O168" s="12" t="s">
        <v>41</v>
      </c>
      <c r="P168" s="12" t="s">
        <v>41</v>
      </c>
      <c r="Q168" s="11" t="s">
        <v>142</v>
      </c>
      <c r="R168" s="135"/>
      <c r="S168" s="13" t="s">
        <v>42</v>
      </c>
      <c r="T168" s="112"/>
      <c r="U168" s="129"/>
      <c r="V168" s="132"/>
      <c r="W168" s="132"/>
      <c r="X168" s="112"/>
    </row>
    <row r="169" spans="1:24" ht="16.5" thickBot="1">
      <c r="A169" s="120"/>
      <c r="B169" s="14" t="s">
        <v>43</v>
      </c>
      <c r="C169" s="14" t="s">
        <v>43</v>
      </c>
      <c r="D169" s="15" t="s">
        <v>43</v>
      </c>
      <c r="E169" s="16" t="s">
        <v>43</v>
      </c>
      <c r="F169" s="15" t="s">
        <v>9</v>
      </c>
      <c r="G169" s="15" t="s">
        <v>43</v>
      </c>
      <c r="H169" s="15" t="s">
        <v>43</v>
      </c>
      <c r="I169" s="15" t="s">
        <v>43</v>
      </c>
      <c r="J169" s="15" t="s">
        <v>43</v>
      </c>
      <c r="K169" s="15" t="s">
        <v>44</v>
      </c>
      <c r="L169" s="15" t="s">
        <v>45</v>
      </c>
      <c r="M169" s="15" t="s">
        <v>45</v>
      </c>
      <c r="N169" s="15" t="s">
        <v>45</v>
      </c>
      <c r="O169" s="17" t="s">
        <v>45</v>
      </c>
      <c r="P169" s="17" t="s">
        <v>44</v>
      </c>
      <c r="Q169" s="17" t="s">
        <v>46</v>
      </c>
      <c r="R169" s="17" t="s">
        <v>44</v>
      </c>
      <c r="S169" s="17" t="s">
        <v>47</v>
      </c>
      <c r="T169" s="113"/>
      <c r="U169" s="130"/>
      <c r="V169" s="133"/>
      <c r="W169" s="133"/>
      <c r="X169" s="113"/>
    </row>
    <row r="170" spans="1:24" ht="15.75">
      <c r="A170" s="18" t="s">
        <v>148</v>
      </c>
      <c r="B170" s="23">
        <f>976.5-0.6</f>
        <v>975.9</v>
      </c>
      <c r="C170" s="23">
        <f>976.5+0.6</f>
        <v>977.1</v>
      </c>
      <c r="D170" s="23">
        <f>((C170-B170)/2)+B170</f>
        <v>976.5</v>
      </c>
      <c r="E170" s="21"/>
      <c r="F170" s="22">
        <f>+(C170-B170)*1000</f>
        <v>1200.0000000000455</v>
      </c>
      <c r="G170" s="23">
        <f>+B170+([4]Premissas!$C$109/1000+[4]Premissas!$C$110/1000/2)</f>
        <v>976.00567000000001</v>
      </c>
      <c r="H170" s="23">
        <f>+C170-([4]Premissas!$C$109/1000+[4]Premissas!$C$110/1000/2)</f>
        <v>976.99432999999999</v>
      </c>
      <c r="I170" s="24"/>
      <c r="J170" s="24"/>
      <c r="K170" s="25"/>
      <c r="L170" s="25"/>
      <c r="M170" s="24"/>
      <c r="N170" s="24"/>
      <c r="O170" s="24"/>
      <c r="P170" s="26"/>
      <c r="Q170" s="27"/>
      <c r="R170" s="26"/>
      <c r="S170" s="28"/>
      <c r="T170" s="25"/>
      <c r="U170" s="25"/>
      <c r="V170" s="25"/>
      <c r="W170" s="84"/>
      <c r="X170" s="24"/>
    </row>
    <row r="171" spans="1:24" ht="15.75">
      <c r="A171" s="29"/>
      <c r="B171" s="35"/>
      <c r="C171" s="35"/>
      <c r="D171" s="35"/>
      <c r="E171" s="32">
        <f>B172-C170</f>
        <v>7.2999999999999545</v>
      </c>
      <c r="F171" s="42"/>
      <c r="G171" s="34"/>
      <c r="H171" s="34"/>
      <c r="I171" s="35">
        <f>G172-G170</f>
        <v>8.5</v>
      </c>
      <c r="J171" s="35">
        <f>H172-H170</f>
        <v>8.5</v>
      </c>
      <c r="K171" s="36">
        <v>50</v>
      </c>
      <c r="L171" s="36">
        <f>(E171/K171)*60</f>
        <v>8.7599999999999465</v>
      </c>
      <c r="M171" s="37">
        <f>+I171/K171*60</f>
        <v>10.200000000000001</v>
      </c>
      <c r="N171" s="37">
        <f>+J171/K171*60</f>
        <v>10.200000000000001</v>
      </c>
      <c r="O171" s="37">
        <f>+N171+M171</f>
        <v>20.400000000000002</v>
      </c>
      <c r="P171" s="37">
        <f>+(I171+J171)/(O171/60)</f>
        <v>49.999999999999993</v>
      </c>
      <c r="Q171" s="38">
        <f>+U160</f>
        <v>0.2</v>
      </c>
      <c r="R171" s="37">
        <f>+P171-(P171*Q171)</f>
        <v>39.999999999999993</v>
      </c>
      <c r="S171" s="39">
        <f>+(I171+J171)/R171</f>
        <v>0.4250000000000001</v>
      </c>
      <c r="T171" s="36">
        <f>+(2*($C$5-$C$6)/(S171*60+$C$8))*$C$9/100</f>
        <v>65.783606557377027</v>
      </c>
      <c r="U171" s="36">
        <f>+T171/2</f>
        <v>32.891803278688514</v>
      </c>
      <c r="V171" s="36">
        <f>+U161</f>
        <v>4</v>
      </c>
      <c r="W171" s="40">
        <f>+U171-V171</f>
        <v>28.891803278688514</v>
      </c>
      <c r="X171" s="33"/>
    </row>
    <row r="172" spans="1:24" ht="15.75">
      <c r="A172" s="41" t="s">
        <v>92</v>
      </c>
      <c r="B172" s="35">
        <f>985-0.6</f>
        <v>984.4</v>
      </c>
      <c r="C172" s="35">
        <f>985+0.6</f>
        <v>985.6</v>
      </c>
      <c r="D172" s="35">
        <f>((C172-B172)/2)+B172</f>
        <v>985</v>
      </c>
      <c r="E172" s="32"/>
      <c r="F172" s="42">
        <f>+(C172-B172)*1000</f>
        <v>1200.0000000000455</v>
      </c>
      <c r="G172" s="35">
        <f>+B172+([4]Premissas!$C$109/1000+[4]Premissas!$C$110/1000/2)</f>
        <v>984.50567000000001</v>
      </c>
      <c r="H172" s="35">
        <f>+C172-([4]Premissas!$C$109/1000+[4]Premissas!$C$110/1000/2)</f>
        <v>985.49432999999999</v>
      </c>
      <c r="I172" s="34"/>
      <c r="J172" s="34"/>
      <c r="K172" s="36"/>
      <c r="L172" s="36"/>
      <c r="M172" s="34"/>
      <c r="N172" s="34"/>
      <c r="O172" s="34"/>
      <c r="P172" s="37"/>
      <c r="Q172" s="38"/>
      <c r="R172" s="37"/>
      <c r="S172" s="39"/>
      <c r="T172" s="36"/>
      <c r="U172" s="36"/>
      <c r="V172" s="36"/>
      <c r="W172" s="40"/>
      <c r="X172" s="34"/>
    </row>
    <row r="173" spans="1:24" ht="15.75">
      <c r="A173" s="29"/>
      <c r="B173" s="35"/>
      <c r="C173" s="35"/>
      <c r="D173" s="35"/>
      <c r="E173" s="32">
        <f>B174-C172</f>
        <v>15.599999999999909</v>
      </c>
      <c r="F173" s="42"/>
      <c r="G173" s="34"/>
      <c r="H173" s="34"/>
      <c r="I173" s="35">
        <f>G174-G172</f>
        <v>16.799999999999955</v>
      </c>
      <c r="J173" s="35">
        <f>H174-H172</f>
        <v>16.799999999999955</v>
      </c>
      <c r="K173" s="36">
        <f>+K171</f>
        <v>50</v>
      </c>
      <c r="L173" s="36">
        <f>(E173/K173)*60</f>
        <v>18.719999999999889</v>
      </c>
      <c r="M173" s="37">
        <f>+I173/K173*60</f>
        <v>20.159999999999943</v>
      </c>
      <c r="N173" s="37">
        <f>+J173/K173*60</f>
        <v>20.159999999999943</v>
      </c>
      <c r="O173" s="37">
        <f>+N173+M173</f>
        <v>40.319999999999887</v>
      </c>
      <c r="P173" s="37">
        <f>+(I173+J173)/(O173/60)</f>
        <v>50</v>
      </c>
      <c r="Q173" s="38">
        <f>Q171</f>
        <v>0.2</v>
      </c>
      <c r="R173" s="37">
        <f>+P173-(P173*Q173)</f>
        <v>40</v>
      </c>
      <c r="S173" s="39">
        <f>+(I173+J173)/R173</f>
        <v>0.83999999999999775</v>
      </c>
      <c r="T173" s="36">
        <f>+(2*($C$5-$C$6)/(S173*60+$C$8))*$C$9/100</f>
        <v>36.216606498195034</v>
      </c>
      <c r="U173" s="36">
        <f>+T173/2</f>
        <v>18.108303249097517</v>
      </c>
      <c r="V173" s="36">
        <f>V171</f>
        <v>4</v>
      </c>
      <c r="W173" s="40">
        <f>+U173-V173</f>
        <v>14.108303249097517</v>
      </c>
      <c r="X173" s="33"/>
    </row>
    <row r="174" spans="1:24" ht="15.75">
      <c r="A174" s="41" t="s">
        <v>93</v>
      </c>
      <c r="B174" s="35">
        <f>1001.8-0.6</f>
        <v>1001.1999999999999</v>
      </c>
      <c r="C174" s="35">
        <f>1001.8+0.6</f>
        <v>1002.4</v>
      </c>
      <c r="D174" s="35">
        <f>((C174-B174)/2)+B174</f>
        <v>1001.8</v>
      </c>
      <c r="E174" s="32"/>
      <c r="F174" s="42">
        <f>+(C174-B174)*1000</f>
        <v>1200.0000000000455</v>
      </c>
      <c r="G174" s="35">
        <f>+B174+([4]Premissas!$C$109/1000+[4]Premissas!$C$110/1000/2)</f>
        <v>1001.30567</v>
      </c>
      <c r="H174" s="35">
        <f>+C174-([4]Premissas!$C$109/1000+[4]Premissas!$C$110/1000/2)</f>
        <v>1002.2943299999999</v>
      </c>
      <c r="I174" s="34"/>
      <c r="J174" s="34"/>
      <c r="K174" s="36"/>
      <c r="L174" s="36"/>
      <c r="M174" s="34"/>
      <c r="N174" s="34"/>
      <c r="O174" s="34"/>
      <c r="P174" s="37"/>
      <c r="Q174" s="38"/>
      <c r="R174" s="37"/>
      <c r="S174" s="39"/>
      <c r="T174" s="36"/>
      <c r="U174" s="36"/>
      <c r="V174" s="36"/>
      <c r="W174" s="40"/>
      <c r="X174" s="34"/>
    </row>
    <row r="175" spans="1:24" ht="15.75">
      <c r="A175" s="29"/>
      <c r="B175" s="34"/>
      <c r="C175" s="34"/>
      <c r="D175" s="34"/>
      <c r="E175" s="32">
        <f>B176-C174</f>
        <v>11.899999999999977</v>
      </c>
      <c r="F175" s="33"/>
      <c r="G175" s="34"/>
      <c r="H175" s="34"/>
      <c r="I175" s="35">
        <f>G176-G174</f>
        <v>13.100000000000023</v>
      </c>
      <c r="J175" s="35">
        <f>H176-H174</f>
        <v>13.100000000000023</v>
      </c>
      <c r="K175" s="36">
        <f>+K173</f>
        <v>50</v>
      </c>
      <c r="L175" s="36">
        <f>(E175/K175)*60</f>
        <v>14.279999999999973</v>
      </c>
      <c r="M175" s="37">
        <f>+I175/K175*60</f>
        <v>15.720000000000027</v>
      </c>
      <c r="N175" s="37">
        <f>+J175/K175*60</f>
        <v>15.720000000000027</v>
      </c>
      <c r="O175" s="37">
        <f>+N175+M175</f>
        <v>31.440000000000055</v>
      </c>
      <c r="P175" s="37">
        <f>+(I175+J175)/(O175/60)</f>
        <v>50</v>
      </c>
      <c r="Q175" s="38">
        <f>Q173</f>
        <v>0.2</v>
      </c>
      <c r="R175" s="37">
        <f>+P175-(P175*Q175)</f>
        <v>40</v>
      </c>
      <c r="S175" s="39">
        <f>+(I175+J175)/R175</f>
        <v>0.65500000000000114</v>
      </c>
      <c r="T175" s="36">
        <f>+(2*($C$5-$C$6)/(S175*60+$C$8))*$C$9/100</f>
        <v>45.291196388261781</v>
      </c>
      <c r="U175" s="36">
        <f>+T175/2</f>
        <v>22.645598194130891</v>
      </c>
      <c r="V175" s="36">
        <f>V173</f>
        <v>4</v>
      </c>
      <c r="W175" s="40">
        <f>+U175-V175</f>
        <v>18.645598194130891</v>
      </c>
      <c r="X175" s="33"/>
    </row>
    <row r="176" spans="1:24" ht="15.75">
      <c r="A176" s="41" t="s">
        <v>94</v>
      </c>
      <c r="B176" s="35">
        <f>1014.9-0.6</f>
        <v>1014.3</v>
      </c>
      <c r="C176" s="35">
        <f>1014.9+0.6</f>
        <v>1015.5</v>
      </c>
      <c r="D176" s="35">
        <f>((C176-B176)/2)+B176</f>
        <v>1014.9</v>
      </c>
      <c r="E176" s="32"/>
      <c r="F176" s="42">
        <f>+(C176-B176)*1000</f>
        <v>1200.0000000000455</v>
      </c>
      <c r="G176" s="35">
        <f>+B176+([4]Premissas!$C$109/1000+[4]Premissas!$C$110/1000/2)</f>
        <v>1014.40567</v>
      </c>
      <c r="H176" s="35">
        <f>+C176-([4]Premissas!$C$109/1000+[4]Premissas!$C$110/1000/2)</f>
        <v>1015.39433</v>
      </c>
      <c r="I176" s="35"/>
      <c r="J176" s="35"/>
      <c r="K176" s="36"/>
      <c r="L176" s="36"/>
      <c r="M176" s="37"/>
      <c r="N176" s="37"/>
      <c r="O176" s="37"/>
      <c r="P176" s="37"/>
      <c r="Q176" s="38"/>
      <c r="R176" s="37"/>
      <c r="S176" s="39"/>
      <c r="T176" s="36"/>
      <c r="U176" s="36"/>
      <c r="V176" s="36"/>
      <c r="W176" s="40"/>
      <c r="X176" s="33"/>
    </row>
    <row r="177" spans="1:24" ht="15.75">
      <c r="A177" s="29"/>
      <c r="B177" s="34"/>
      <c r="C177" s="34"/>
      <c r="D177" s="34"/>
      <c r="E177" s="32">
        <f>B178-C176</f>
        <v>7.5</v>
      </c>
      <c r="F177" s="33"/>
      <c r="G177" s="34"/>
      <c r="H177" s="34"/>
      <c r="I177" s="35">
        <f>G178-G176</f>
        <v>8.7000000000000455</v>
      </c>
      <c r="J177" s="35">
        <f>H178-H176</f>
        <v>8.7000000000001592</v>
      </c>
      <c r="K177" s="36">
        <f>+K175</f>
        <v>50</v>
      </c>
      <c r="L177" s="36">
        <f>(E177/K177)*60</f>
        <v>9</v>
      </c>
      <c r="M177" s="37">
        <f>+I177/K177*60</f>
        <v>10.440000000000055</v>
      </c>
      <c r="N177" s="37">
        <f>+J177/K177*60</f>
        <v>10.440000000000191</v>
      </c>
      <c r="O177" s="37">
        <f>+N177+M177</f>
        <v>20.880000000000244</v>
      </c>
      <c r="P177" s="37">
        <f>+(I177+J177)/(O177/60)</f>
        <v>50</v>
      </c>
      <c r="Q177" s="38">
        <f>Q175</f>
        <v>0.2</v>
      </c>
      <c r="R177" s="37">
        <f>+P177-(P177*Q177)</f>
        <v>40</v>
      </c>
      <c r="S177" s="39">
        <f>+(I177+J177)/R177</f>
        <v>0.4350000000000051</v>
      </c>
      <c r="T177" s="36">
        <f>+(2*($C$5-$C$6)/(S177*60+$C$8))*$C$9/100</f>
        <v>64.514469453375568</v>
      </c>
      <c r="U177" s="36">
        <f>+T177/2</f>
        <v>32.257234726687784</v>
      </c>
      <c r="V177" s="36">
        <f>V175</f>
        <v>4</v>
      </c>
      <c r="W177" s="40">
        <f>+U177-V177</f>
        <v>28.257234726687784</v>
      </c>
      <c r="X177" s="33"/>
    </row>
    <row r="178" spans="1:24" ht="15.75">
      <c r="A178" s="41" t="s">
        <v>95</v>
      </c>
      <c r="B178" s="35">
        <f>1023.6-0.6</f>
        <v>1023</v>
      </c>
      <c r="C178" s="35">
        <f>1023.6+0.6</f>
        <v>1024.2</v>
      </c>
      <c r="D178" s="35">
        <f>((C178-B178)/2)+B178</f>
        <v>1023.6</v>
      </c>
      <c r="E178" s="32"/>
      <c r="F178" s="42">
        <f>+(C178-B178)*1000</f>
        <v>1200.0000000000455</v>
      </c>
      <c r="G178" s="35">
        <f>+B178+([4]Premissas!$C$109/1000+[4]Premissas!$C$110/1000/2)</f>
        <v>1023.10567</v>
      </c>
      <c r="H178" s="35">
        <f>+C178-([4]Premissas!$C$109/1000+[4]Premissas!$C$110/1000/2)</f>
        <v>1024.0943300000001</v>
      </c>
      <c r="I178" s="35"/>
      <c r="J178" s="35"/>
      <c r="K178" s="36"/>
      <c r="L178" s="36"/>
      <c r="M178" s="37"/>
      <c r="N178" s="37"/>
      <c r="O178" s="37"/>
      <c r="P178" s="37"/>
      <c r="Q178" s="38"/>
      <c r="R178" s="37"/>
      <c r="S178" s="39"/>
      <c r="T178" s="36"/>
      <c r="U178" s="36"/>
      <c r="V178" s="36"/>
      <c r="W178" s="40"/>
      <c r="X178" s="33"/>
    </row>
    <row r="179" spans="1:24" ht="15.75">
      <c r="A179" s="29"/>
      <c r="B179" s="34"/>
      <c r="C179" s="34"/>
      <c r="D179" s="34"/>
      <c r="E179" s="32">
        <f>B180-C178</f>
        <v>9.2999999999999545</v>
      </c>
      <c r="F179" s="33"/>
      <c r="G179" s="34"/>
      <c r="H179" s="34"/>
      <c r="I179" s="35">
        <f>G180-G178</f>
        <v>10.499999999999886</v>
      </c>
      <c r="J179" s="35">
        <f>H180-H178</f>
        <v>10.499999999999773</v>
      </c>
      <c r="K179" s="36">
        <f>+K177</f>
        <v>50</v>
      </c>
      <c r="L179" s="36">
        <f>(E179/K179)*60</f>
        <v>11.159999999999945</v>
      </c>
      <c r="M179" s="37">
        <f>+I179/K179*60</f>
        <v>12.599999999999863</v>
      </c>
      <c r="N179" s="37">
        <f>+J179/K179*60</f>
        <v>12.599999999999726</v>
      </c>
      <c r="O179" s="37">
        <f>+N179+M179</f>
        <v>25.199999999999591</v>
      </c>
      <c r="P179" s="37">
        <f>+(I179+J179)/(O179/60)</f>
        <v>50</v>
      </c>
      <c r="Q179" s="38">
        <f>Q177</f>
        <v>0.2</v>
      </c>
      <c r="R179" s="37">
        <f>+P179-(P179*Q179)</f>
        <v>40</v>
      </c>
      <c r="S179" s="39">
        <f>+(I179+J179)/R179</f>
        <v>0.52499999999999147</v>
      </c>
      <c r="T179" s="36">
        <f>+(2*($C$5-$C$6)/(S179*60+$C$8))*$C$9/100</f>
        <v>54.969863013699396</v>
      </c>
      <c r="U179" s="36">
        <f>+T179/2</f>
        <v>27.484931506849698</v>
      </c>
      <c r="V179" s="36">
        <f>V177</f>
        <v>4</v>
      </c>
      <c r="W179" s="40">
        <f>+U179-V179</f>
        <v>23.484931506849698</v>
      </c>
      <c r="X179" s="33"/>
    </row>
    <row r="180" spans="1:24" ht="15.75">
      <c r="A180" s="41" t="s">
        <v>151</v>
      </c>
      <c r="B180" s="35">
        <f>1034.1-0.6</f>
        <v>1033.5</v>
      </c>
      <c r="C180" s="35">
        <f>1034.1+0.6</f>
        <v>1034.6999999999998</v>
      </c>
      <c r="D180" s="35">
        <f>((C180-B180)/2)+B180</f>
        <v>1034.0999999999999</v>
      </c>
      <c r="E180" s="32"/>
      <c r="F180" s="42">
        <f>+(C180-B180)*1000</f>
        <v>1199.9999999998181</v>
      </c>
      <c r="G180" s="35">
        <f>+B180+([4]Premissas!$C$109/1000+[4]Premissas!$C$110/1000/2)</f>
        <v>1033.6056699999999</v>
      </c>
      <c r="H180" s="35">
        <f>+C180-([4]Premissas!$C$109/1000+[4]Premissas!$C$110/1000/2)</f>
        <v>1034.5943299999999</v>
      </c>
      <c r="I180" s="35"/>
      <c r="J180" s="35"/>
      <c r="K180" s="36"/>
      <c r="L180" s="36"/>
      <c r="M180" s="37"/>
      <c r="N180" s="37"/>
      <c r="O180" s="37"/>
      <c r="P180" s="37"/>
      <c r="Q180" s="38"/>
      <c r="R180" s="37"/>
      <c r="S180" s="39"/>
      <c r="T180" s="36"/>
      <c r="U180" s="36"/>
      <c r="V180" s="36"/>
      <c r="W180" s="40"/>
      <c r="X180" s="33"/>
    </row>
    <row r="181" spans="1:24" ht="15.75">
      <c r="A181" s="29"/>
      <c r="B181" s="34"/>
      <c r="C181" s="34"/>
      <c r="D181" s="34"/>
      <c r="E181" s="32">
        <f>B182-C180</f>
        <v>5.7000000000002728</v>
      </c>
      <c r="F181" s="33"/>
      <c r="G181" s="34"/>
      <c r="H181" s="34"/>
      <c r="I181" s="35">
        <f>G182-G180</f>
        <v>6.9000000000000909</v>
      </c>
      <c r="J181" s="35">
        <f>H182-H180</f>
        <v>6.9000000000000909</v>
      </c>
      <c r="K181" s="36">
        <f>+K179</f>
        <v>50</v>
      </c>
      <c r="L181" s="36">
        <f>(E181/K181)*60</f>
        <v>6.8400000000003276</v>
      </c>
      <c r="M181" s="37">
        <f>+I181/K181*60</f>
        <v>8.2800000000001095</v>
      </c>
      <c r="N181" s="37">
        <f>+J181/K181*60</f>
        <v>8.2800000000001095</v>
      </c>
      <c r="O181" s="37">
        <f>+N181+M181</f>
        <v>16.560000000000219</v>
      </c>
      <c r="P181" s="37">
        <f>+(I181+J181)/(O181/60)</f>
        <v>50</v>
      </c>
      <c r="Q181" s="38">
        <f>Q179</f>
        <v>0.2</v>
      </c>
      <c r="R181" s="37">
        <f>+P181-(P181*Q181)</f>
        <v>40</v>
      </c>
      <c r="S181" s="39">
        <f>+(I181+J181)/R181</f>
        <v>0.34500000000000453</v>
      </c>
      <c r="T181" s="36">
        <f>+(2*($C$5-$C$6)/(S181*60+$C$8))*$C$9/100</f>
        <v>78.070038910505005</v>
      </c>
      <c r="U181" s="36">
        <f>+T181/2</f>
        <v>39.035019455252502</v>
      </c>
      <c r="V181" s="36">
        <f>V179</f>
        <v>4</v>
      </c>
      <c r="W181" s="40">
        <f>+U181-V181</f>
        <v>35.035019455252502</v>
      </c>
      <c r="X181" s="33"/>
    </row>
    <row r="182" spans="1:24" ht="15.75">
      <c r="A182" s="41" t="s">
        <v>96</v>
      </c>
      <c r="B182" s="35">
        <f>1041-0.6</f>
        <v>1040.4000000000001</v>
      </c>
      <c r="C182" s="35">
        <f>1041+0.6</f>
        <v>1041.5999999999999</v>
      </c>
      <c r="D182" s="35">
        <f>((C182-B182)/2)+B182</f>
        <v>1041</v>
      </c>
      <c r="E182" s="32"/>
      <c r="F182" s="42">
        <f>+(C182-B182)*1000</f>
        <v>1199.9999999998181</v>
      </c>
      <c r="G182" s="35">
        <f>+B182+([4]Premissas!$C$109/1000+[4]Premissas!$C$110/1000/2)</f>
        <v>1040.50567</v>
      </c>
      <c r="H182" s="35">
        <f>+C182-([4]Premissas!$C$109/1000+[4]Premissas!$C$110/1000/2)</f>
        <v>1041.49433</v>
      </c>
      <c r="I182" s="35"/>
      <c r="J182" s="35"/>
      <c r="K182" s="36"/>
      <c r="L182" s="36"/>
      <c r="M182" s="37"/>
      <c r="N182" s="37"/>
      <c r="O182" s="37"/>
      <c r="P182" s="37"/>
      <c r="Q182" s="38"/>
      <c r="R182" s="37"/>
      <c r="S182" s="39"/>
      <c r="T182" s="36"/>
      <c r="U182" s="36"/>
      <c r="V182" s="36"/>
      <c r="W182" s="40"/>
      <c r="X182" s="33"/>
    </row>
    <row r="183" spans="1:24" ht="15.75">
      <c r="A183" s="29"/>
      <c r="B183" s="34"/>
      <c r="C183" s="34"/>
      <c r="D183" s="34"/>
      <c r="E183" s="32">
        <f>B184-C182</f>
        <v>6.4000000000000909</v>
      </c>
      <c r="F183" s="33"/>
      <c r="G183" s="34"/>
      <c r="H183" s="34"/>
      <c r="I183" s="35">
        <f>G184-G182</f>
        <v>7.5999999999999091</v>
      </c>
      <c r="J183" s="35">
        <f>H184-H182</f>
        <v>7.5999999999999091</v>
      </c>
      <c r="K183" s="36">
        <f>+K181</f>
        <v>50</v>
      </c>
      <c r="L183" s="36">
        <f>(E183/K183)*60</f>
        <v>7.6800000000001081</v>
      </c>
      <c r="M183" s="37">
        <f>+I183/K183*60</f>
        <v>9.1199999999998909</v>
      </c>
      <c r="N183" s="37">
        <f>+J183/K183*60</f>
        <v>9.1199999999998909</v>
      </c>
      <c r="O183" s="37">
        <f>+N183+M183</f>
        <v>18.239999999999782</v>
      </c>
      <c r="P183" s="37">
        <f>+(I183+J183)/(O183/60)</f>
        <v>49.999999999999993</v>
      </c>
      <c r="Q183" s="38">
        <f>Q181</f>
        <v>0.2</v>
      </c>
      <c r="R183" s="37">
        <f>+P183-(P183*Q183)</f>
        <v>39.999999999999993</v>
      </c>
      <c r="S183" s="39">
        <f>+(I183+J183)/R183</f>
        <v>0.37999999999999551</v>
      </c>
      <c r="T183" s="36">
        <f>+(2*($C$5-$C$6)/(S183*60+$C$8))*$C$9/100</f>
        <v>72.172661870504285</v>
      </c>
      <c r="U183" s="36">
        <f>+T183/2</f>
        <v>36.086330935252143</v>
      </c>
      <c r="V183" s="36">
        <f>V181</f>
        <v>4</v>
      </c>
      <c r="W183" s="40">
        <f>+U183-V183</f>
        <v>32.086330935252143</v>
      </c>
      <c r="X183" s="33"/>
    </row>
    <row r="184" spans="1:24" ht="15.75">
      <c r="A184" s="41" t="s">
        <v>97</v>
      </c>
      <c r="B184" s="35">
        <f>1048.6-0.6</f>
        <v>1048</v>
      </c>
      <c r="C184" s="35">
        <f>1048.6+0.6</f>
        <v>1049.1999999999998</v>
      </c>
      <c r="D184" s="35">
        <f>((C184-B184)/2)+B184</f>
        <v>1048.5999999999999</v>
      </c>
      <c r="E184" s="32"/>
      <c r="F184" s="42">
        <f>+(C184-B184)*1000</f>
        <v>1199.9999999998181</v>
      </c>
      <c r="G184" s="35">
        <f>+B184+([4]Premissas!$C$109/1000+[4]Premissas!$C$110/1000/2)</f>
        <v>1048.1056699999999</v>
      </c>
      <c r="H184" s="35">
        <f>+C184-([4]Premissas!$C$109/1000+[4]Premissas!$C$110/1000/2)</f>
        <v>1049.0943299999999</v>
      </c>
      <c r="I184" s="35"/>
      <c r="J184" s="35"/>
      <c r="K184" s="36"/>
      <c r="L184" s="36"/>
      <c r="M184" s="37"/>
      <c r="N184" s="37"/>
      <c r="O184" s="37"/>
      <c r="P184" s="37"/>
      <c r="Q184" s="38"/>
      <c r="R184" s="37"/>
      <c r="S184" s="39"/>
      <c r="T184" s="36"/>
      <c r="U184" s="36"/>
      <c r="V184" s="36"/>
      <c r="W184" s="40"/>
      <c r="X184" s="33"/>
    </row>
    <row r="185" spans="1:24" ht="15.75">
      <c r="A185" s="29"/>
      <c r="B185" s="35"/>
      <c r="C185" s="35"/>
      <c r="D185" s="35"/>
      <c r="E185" s="32">
        <f>B186-C184</f>
        <v>6.9000000000003183</v>
      </c>
      <c r="F185" s="42"/>
      <c r="G185" s="34"/>
      <c r="H185" s="34"/>
      <c r="I185" s="35">
        <f>G186-G184</f>
        <v>8.1000000000001364</v>
      </c>
      <c r="J185" s="35">
        <f>H186-H184</f>
        <v>8.1000000000001364</v>
      </c>
      <c r="K185" s="36">
        <f>+K183</f>
        <v>50</v>
      </c>
      <c r="L185" s="36">
        <f>(E185/K185)*60</f>
        <v>8.2800000000003813</v>
      </c>
      <c r="M185" s="37">
        <f>+I185/K185*60</f>
        <v>9.7200000000001641</v>
      </c>
      <c r="N185" s="37">
        <f>+J185/K185*60</f>
        <v>9.7200000000001641</v>
      </c>
      <c r="O185" s="37">
        <f>+N185+M185</f>
        <v>19.440000000000328</v>
      </c>
      <c r="P185" s="37">
        <f>+(I185+J185)/(O185/60)</f>
        <v>50</v>
      </c>
      <c r="Q185" s="38">
        <f>Q183</f>
        <v>0.2</v>
      </c>
      <c r="R185" s="37">
        <f>+P185-(P185*Q185)</f>
        <v>40</v>
      </c>
      <c r="S185" s="39">
        <f>+(I185+J185)/R185</f>
        <v>0.4050000000000068</v>
      </c>
      <c r="T185" s="36">
        <f>+(2*($C$5-$C$6)/(S185*60+$C$8))*$C$9/100</f>
        <v>68.477815699657754</v>
      </c>
      <c r="U185" s="36">
        <f>+T185/2</f>
        <v>34.238907849828877</v>
      </c>
      <c r="V185" s="36">
        <f>V183</f>
        <v>4</v>
      </c>
      <c r="W185" s="40">
        <f>+U185-V185</f>
        <v>30.238907849828877</v>
      </c>
      <c r="X185" s="33"/>
    </row>
    <row r="186" spans="1:24" ht="15.75">
      <c r="A186" s="41" t="s">
        <v>98</v>
      </c>
      <c r="B186" s="35">
        <f>1056.7-0.6</f>
        <v>1056.1000000000001</v>
      </c>
      <c r="C186" s="35">
        <f>1056.7+0.6</f>
        <v>1057.3</v>
      </c>
      <c r="D186" s="35">
        <f>((C186-B186)/2)+B186</f>
        <v>1056.7</v>
      </c>
      <c r="E186" s="32"/>
      <c r="F186" s="42">
        <f>+(C186-B186)*1000</f>
        <v>1199.9999999998181</v>
      </c>
      <c r="G186" s="35">
        <f>+B186+([4]Premissas!$C$109/1000+[4]Premissas!$C$110/1000/2)</f>
        <v>1056.2056700000001</v>
      </c>
      <c r="H186" s="35">
        <f>+C186-([4]Premissas!$C$109/1000+[4]Premissas!$C$110/1000/2)</f>
        <v>1057.19433</v>
      </c>
      <c r="I186" s="35"/>
      <c r="J186" s="35"/>
      <c r="K186" s="36"/>
      <c r="L186" s="36"/>
      <c r="M186" s="37"/>
      <c r="N186" s="37"/>
      <c r="O186" s="37"/>
      <c r="P186" s="37"/>
      <c r="Q186" s="38"/>
      <c r="R186" s="37"/>
      <c r="S186" s="39"/>
      <c r="T186" s="36"/>
      <c r="U186" s="36"/>
      <c r="V186" s="36"/>
      <c r="W186" s="40"/>
      <c r="X186" s="45"/>
    </row>
    <row r="187" spans="1:24" ht="15.75">
      <c r="A187" s="29"/>
      <c r="B187" s="35"/>
      <c r="C187" s="35"/>
      <c r="D187" s="35"/>
      <c r="E187" s="32">
        <f>B188-C186</f>
        <v>13.600000000000136</v>
      </c>
      <c r="F187" s="42"/>
      <c r="G187" s="35"/>
      <c r="H187" s="35"/>
      <c r="I187" s="35">
        <f>G188-G186</f>
        <v>14.799999999999955</v>
      </c>
      <c r="J187" s="35">
        <f>H188-H186</f>
        <v>14.799999999999955</v>
      </c>
      <c r="K187" s="36">
        <f>+K185</f>
        <v>50</v>
      </c>
      <c r="L187" s="36">
        <f>(E187/K187)*60</f>
        <v>16.320000000000164</v>
      </c>
      <c r="M187" s="37">
        <f>+I187/K187*60</f>
        <v>17.759999999999945</v>
      </c>
      <c r="N187" s="37">
        <f>+J187/K187*60</f>
        <v>17.759999999999945</v>
      </c>
      <c r="O187" s="37">
        <f>+N187+M187</f>
        <v>35.519999999999889</v>
      </c>
      <c r="P187" s="37">
        <f>+(I187+J187)/(O187/60)</f>
        <v>50</v>
      </c>
      <c r="Q187" s="38">
        <f>Q185</f>
        <v>0.2</v>
      </c>
      <c r="R187" s="37">
        <f>+P187-(P187*Q187)</f>
        <v>40</v>
      </c>
      <c r="S187" s="39">
        <f>+(I187+J187)/R187</f>
        <v>0.73999999999999777</v>
      </c>
      <c r="T187" s="36">
        <f>+(2*($C$5-$C$6)/(S187*60+$C$8))*$C$9/100</f>
        <v>40.615384615384727</v>
      </c>
      <c r="U187" s="36">
        <f>+T187/2</f>
        <v>20.307692307692363</v>
      </c>
      <c r="V187" s="36">
        <f>V185</f>
        <v>4</v>
      </c>
      <c r="W187" s="40">
        <f>+U187-V187</f>
        <v>16.307692307692363</v>
      </c>
      <c r="X187" s="33">
        <f>+W187</f>
        <v>16.307692307692363</v>
      </c>
    </row>
    <row r="188" spans="1:24" ht="15.75">
      <c r="A188" s="41" t="s">
        <v>99</v>
      </c>
      <c r="B188" s="35">
        <f>1071.5-0.6</f>
        <v>1070.9000000000001</v>
      </c>
      <c r="C188" s="35">
        <f>1071.5+0.6</f>
        <v>1072.0999999999999</v>
      </c>
      <c r="D188" s="35">
        <f>((C188-B188)/2)+B188</f>
        <v>1071.5</v>
      </c>
      <c r="E188" s="32"/>
      <c r="F188" s="42">
        <f>+(C188-B188)*1000</f>
        <v>1199.9999999998181</v>
      </c>
      <c r="G188" s="35">
        <f>+B188+([4]Premissas!$C$109/1000+[4]Premissas!$C$110/1000/2)</f>
        <v>1071.00567</v>
      </c>
      <c r="H188" s="35">
        <f>+C188-([4]Premissas!$C$109/1000+[4]Premissas!$C$110/1000/2)</f>
        <v>1071.99433</v>
      </c>
      <c r="I188" s="35"/>
      <c r="J188" s="35"/>
      <c r="K188" s="36"/>
      <c r="L188" s="36"/>
      <c r="M188" s="37"/>
      <c r="N188" s="37"/>
      <c r="O188" s="37"/>
      <c r="P188" s="37"/>
      <c r="Q188" s="38"/>
      <c r="R188" s="37"/>
      <c r="S188" s="39"/>
      <c r="T188" s="36"/>
      <c r="U188" s="36"/>
      <c r="V188" s="36"/>
      <c r="W188" s="40"/>
      <c r="X188" s="33"/>
    </row>
    <row r="189" spans="1:24" ht="15.75">
      <c r="A189" s="29"/>
      <c r="B189" s="35"/>
      <c r="C189" s="35"/>
      <c r="D189" s="35"/>
      <c r="E189" s="32">
        <f>B190-C188</f>
        <v>13.500000000000227</v>
      </c>
      <c r="F189" s="42"/>
      <c r="G189" s="34"/>
      <c r="H189" s="34"/>
      <c r="I189" s="35">
        <f>G190-G188</f>
        <v>14.700000000000045</v>
      </c>
      <c r="J189" s="35">
        <f>H190-H188</f>
        <v>14.700000000000045</v>
      </c>
      <c r="K189" s="36">
        <f>+K187</f>
        <v>50</v>
      </c>
      <c r="L189" s="36">
        <f>(E189/K189)*60</f>
        <v>16.200000000000273</v>
      </c>
      <c r="M189" s="37">
        <f>+I189/K189*60</f>
        <v>17.640000000000057</v>
      </c>
      <c r="N189" s="37">
        <f>+J189/K189*60</f>
        <v>17.640000000000057</v>
      </c>
      <c r="O189" s="37">
        <f>+N189+M189</f>
        <v>35.280000000000115</v>
      </c>
      <c r="P189" s="37">
        <f>+(I189+J189)/(O189/60)</f>
        <v>49.999999999999986</v>
      </c>
      <c r="Q189" s="38">
        <f>Q187</f>
        <v>0.2</v>
      </c>
      <c r="R189" s="37">
        <f>+P189-(P189*Q189)</f>
        <v>39.999999999999986</v>
      </c>
      <c r="S189" s="39">
        <f>+(I189+J189)/R189</f>
        <v>0.73500000000000254</v>
      </c>
      <c r="T189" s="36">
        <f>+(2*($C$5-$C$6)/(S189*60+$C$8))*$C$9/100</f>
        <v>40.863543788187251</v>
      </c>
      <c r="U189" s="36">
        <f>+T189/2</f>
        <v>20.431771894093625</v>
      </c>
      <c r="V189" s="36">
        <f>V187</f>
        <v>4</v>
      </c>
      <c r="W189" s="40">
        <f>+U189-V189</f>
        <v>16.431771894093625</v>
      </c>
      <c r="X189" s="33"/>
    </row>
    <row r="190" spans="1:24" ht="16.5" thickBot="1">
      <c r="A190" s="46" t="s">
        <v>150</v>
      </c>
      <c r="B190" s="50">
        <f>1086.2-0.6</f>
        <v>1085.6000000000001</v>
      </c>
      <c r="C190" s="50">
        <f>1086.2+0.6</f>
        <v>1086.8</v>
      </c>
      <c r="D190" s="50">
        <f>((C190-B190)/2)+B190</f>
        <v>1086.2</v>
      </c>
      <c r="E190" s="48"/>
      <c r="F190" s="49">
        <f>+(C190-B190)*1000</f>
        <v>1199.9999999998181</v>
      </c>
      <c r="G190" s="50">
        <f>+B190+([4]Premissas!$C$109/1000+[4]Premissas!$C$110/1000/2)</f>
        <v>1085.7056700000001</v>
      </c>
      <c r="H190" s="50">
        <f>+C190-([4]Premissas!$C$109/1000+[4]Premissas!$C$110/1000/2)</f>
        <v>1086.69433</v>
      </c>
      <c r="I190" s="50"/>
      <c r="J190" s="50"/>
      <c r="K190" s="52"/>
      <c r="L190" s="52"/>
      <c r="M190" s="89"/>
      <c r="N190" s="89"/>
      <c r="O190" s="89"/>
      <c r="P190" s="89"/>
      <c r="Q190" s="92"/>
      <c r="R190" s="89"/>
      <c r="S190" s="93"/>
      <c r="T190" s="52"/>
      <c r="U190" s="52"/>
      <c r="V190" s="52"/>
      <c r="W190" s="90"/>
      <c r="X190" s="51"/>
    </row>
    <row r="191" spans="1:24" ht="15.75">
      <c r="A191" s="53">
        <v>10</v>
      </c>
      <c r="B191" s="54" t="s">
        <v>14</v>
      </c>
      <c r="C191" s="54"/>
      <c r="D191" s="55"/>
      <c r="E191" s="55"/>
      <c r="F191" s="56">
        <f>SUM(F170:F190)-F170</f>
        <v>11999.999999999091</v>
      </c>
      <c r="G191" s="35"/>
      <c r="H191" s="35"/>
      <c r="I191" s="34"/>
      <c r="J191" s="34"/>
      <c r="K191" s="36"/>
      <c r="L191" s="36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</row>
    <row r="192" spans="1:24">
      <c r="A192" s="34"/>
      <c r="B192" s="57"/>
      <c r="C192" s="57"/>
      <c r="D192" s="58"/>
      <c r="E192" s="58"/>
      <c r="F192" s="59"/>
      <c r="G192" s="60"/>
      <c r="H192" s="60"/>
      <c r="I192" s="61"/>
      <c r="J192" s="61"/>
      <c r="K192" s="62"/>
      <c r="L192" s="62"/>
      <c r="M192" s="61"/>
      <c r="N192" s="61"/>
      <c r="O192" s="61"/>
      <c r="P192" s="34" t="s">
        <v>64</v>
      </c>
      <c r="Q192" s="34"/>
      <c r="R192" s="34"/>
      <c r="S192" s="34"/>
      <c r="T192" s="34"/>
      <c r="U192" s="36">
        <f>U187</f>
        <v>20.307692307692363</v>
      </c>
      <c r="V192" s="61"/>
      <c r="W192" s="34"/>
      <c r="X192" s="61"/>
    </row>
    <row r="193" spans="1:24">
      <c r="A193" s="34" t="s">
        <v>157</v>
      </c>
      <c r="B193" s="34"/>
      <c r="C193" s="34"/>
      <c r="D193" s="34"/>
      <c r="E193" s="81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 t="s">
        <v>65</v>
      </c>
      <c r="Q193" s="34"/>
      <c r="R193" s="34"/>
      <c r="S193" s="34"/>
      <c r="T193" s="34"/>
      <c r="U193" s="36">
        <f>W187</f>
        <v>16.307692307692363</v>
      </c>
      <c r="V193" s="33"/>
      <c r="W193" s="34"/>
      <c r="X193" s="34"/>
    </row>
    <row r="194" spans="1:24">
      <c r="A194" s="34" t="s">
        <v>66</v>
      </c>
      <c r="B194" s="34"/>
      <c r="C194" s="34"/>
      <c r="D194" s="34"/>
      <c r="E194" s="81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 t="s">
        <v>67</v>
      </c>
      <c r="Q194" s="34"/>
      <c r="R194" s="34"/>
      <c r="S194" s="34"/>
      <c r="T194" s="34"/>
      <c r="U194" s="82">
        <f>+U151</f>
        <v>3218</v>
      </c>
      <c r="V194" s="34"/>
      <c r="W194" s="34"/>
      <c r="X194" s="34"/>
    </row>
    <row r="195" spans="1:24">
      <c r="A195" s="34" t="s">
        <v>159</v>
      </c>
      <c r="B195" s="34"/>
      <c r="C195" s="34"/>
      <c r="D195" s="34"/>
      <c r="E195" s="81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66" t="s">
        <v>68</v>
      </c>
      <c r="Q195" s="66"/>
      <c r="R195" s="66"/>
      <c r="S195" s="66"/>
      <c r="T195" s="66"/>
      <c r="U195" s="86">
        <f>+U152</f>
        <v>330</v>
      </c>
      <c r="V195" s="66"/>
      <c r="W195" s="66"/>
      <c r="X195" s="34"/>
    </row>
    <row r="196" spans="1:24" ht="15.75">
      <c r="A196" s="34"/>
      <c r="B196" s="34"/>
      <c r="C196" s="34"/>
      <c r="D196" s="34"/>
      <c r="E196" s="81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77" t="s">
        <v>69</v>
      </c>
      <c r="Q196" s="77"/>
      <c r="R196" s="77"/>
      <c r="S196" s="77"/>
      <c r="T196" s="77"/>
      <c r="U196" s="79">
        <f>+(U193*U194*U195)/1000000</f>
        <v>17.317790769230829</v>
      </c>
      <c r="V196" s="77"/>
      <c r="W196" s="34"/>
      <c r="X196" s="77"/>
    </row>
    <row r="197" spans="1:24" ht="15.75">
      <c r="A197" s="34"/>
      <c r="B197" s="34"/>
      <c r="C197" s="34"/>
      <c r="D197" s="34"/>
      <c r="E197" s="81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77" t="s">
        <v>69</v>
      </c>
      <c r="Q197" s="77"/>
      <c r="R197" s="77"/>
      <c r="T197" s="78">
        <f>+T154</f>
        <v>0.2</v>
      </c>
      <c r="U197" s="79">
        <f>+U196/(1+T197)</f>
        <v>14.431492307692357</v>
      </c>
      <c r="V197" s="77" t="s">
        <v>70</v>
      </c>
      <c r="W197" s="34"/>
      <c r="X197" s="77"/>
    </row>
    <row r="198" spans="1:24">
      <c r="T198" s="94"/>
      <c r="U198" s="94"/>
      <c r="V198" s="94"/>
    </row>
    <row r="200" spans="1:24" ht="15.75">
      <c r="A200" s="34"/>
      <c r="B200" s="109" t="s">
        <v>152</v>
      </c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</row>
    <row r="201" spans="1:24" ht="15.75">
      <c r="A201" s="91"/>
      <c r="B201" s="91"/>
      <c r="C201" s="91"/>
      <c r="D201" s="91"/>
      <c r="E201" s="91"/>
      <c r="F201" s="91"/>
      <c r="G201" s="91"/>
      <c r="H201" s="91"/>
      <c r="I201" s="91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</row>
    <row r="202" spans="1:24" ht="15.75">
      <c r="A202" s="91"/>
      <c r="B202" s="34" t="s">
        <v>0</v>
      </c>
      <c r="C202" s="81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 t="s">
        <v>1</v>
      </c>
      <c r="Q202" s="34"/>
      <c r="R202" s="34"/>
      <c r="S202" s="34"/>
      <c r="T202" s="34"/>
      <c r="U202" s="34"/>
      <c r="V202" s="34"/>
      <c r="W202" s="34"/>
      <c r="X202" s="34"/>
    </row>
    <row r="203" spans="1:24" ht="15.75">
      <c r="A203" s="91"/>
      <c r="B203" s="81"/>
      <c r="C203" s="82">
        <v>1440</v>
      </c>
      <c r="D203" s="34" t="s">
        <v>2</v>
      </c>
      <c r="E203" s="87"/>
      <c r="F203" s="34"/>
      <c r="G203" s="34"/>
      <c r="H203" s="34"/>
      <c r="I203" s="34"/>
      <c r="J203" s="34"/>
      <c r="K203" s="34"/>
      <c r="L203" s="34"/>
      <c r="M203" s="38"/>
      <c r="N203" s="34"/>
      <c r="O203" s="34"/>
      <c r="P203" s="34" t="s">
        <v>3</v>
      </c>
      <c r="Q203" s="34"/>
      <c r="R203" s="34"/>
      <c r="S203" s="34"/>
      <c r="T203" s="34"/>
      <c r="U203" s="38">
        <f>+[4]Premissas!M112/100</f>
        <v>0.15</v>
      </c>
      <c r="V203" s="34"/>
      <c r="W203" s="34"/>
      <c r="X203" s="34"/>
    </row>
    <row r="204" spans="1:24" ht="15.75">
      <c r="A204" s="91"/>
      <c r="B204" s="83" t="s">
        <v>4</v>
      </c>
      <c r="C204" s="34">
        <f>+[4]Premissas!M108</f>
        <v>120</v>
      </c>
      <c r="D204" s="34" t="s">
        <v>5</v>
      </c>
      <c r="E204" s="87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 t="s">
        <v>6</v>
      </c>
      <c r="Q204" s="34"/>
      <c r="R204" s="34"/>
      <c r="S204" s="34"/>
      <c r="T204" s="34"/>
      <c r="U204" s="34">
        <f>+[4]Premissas!M114+[4]Premissas!M115</f>
        <v>2</v>
      </c>
      <c r="V204" s="34"/>
      <c r="W204" s="34"/>
      <c r="X204" s="34"/>
    </row>
    <row r="205" spans="1:24">
      <c r="A205" s="34"/>
      <c r="B205" s="81" t="s">
        <v>7</v>
      </c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 t="s">
        <v>8</v>
      </c>
      <c r="Q205" s="34"/>
      <c r="R205" s="34"/>
      <c r="S205" s="34"/>
      <c r="T205" s="34"/>
      <c r="U205" s="82">
        <f>+[4]Frotas!M152</f>
        <v>232</v>
      </c>
      <c r="V205" s="34" t="s">
        <v>9</v>
      </c>
      <c r="W205" s="34"/>
      <c r="X205" s="34"/>
    </row>
    <row r="206" spans="1:24">
      <c r="A206" s="34"/>
      <c r="B206" s="81" t="s">
        <v>10</v>
      </c>
      <c r="C206" s="34">
        <f>+[4]Premissas!M106</f>
        <v>5</v>
      </c>
      <c r="D206" s="34" t="s">
        <v>11</v>
      </c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 t="s">
        <v>12</v>
      </c>
      <c r="Q206" s="34"/>
      <c r="R206" s="34"/>
      <c r="S206" s="34"/>
      <c r="T206" s="34"/>
      <c r="U206" s="82">
        <f>+[4]Frotas!M153</f>
        <v>443.34</v>
      </c>
      <c r="V206" s="34" t="s">
        <v>9</v>
      </c>
      <c r="W206" s="34"/>
      <c r="X206" s="34"/>
    </row>
    <row r="207" spans="1:24">
      <c r="A207" s="34"/>
      <c r="B207" s="81" t="s">
        <v>13</v>
      </c>
      <c r="C207" s="37">
        <f>+[4]Premissas!M102*[4]Premissas!M104/100</f>
        <v>76</v>
      </c>
      <c r="D207" s="34" t="s">
        <v>144</v>
      </c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82"/>
      <c r="V207" s="34"/>
      <c r="W207" s="34"/>
      <c r="X207" s="34"/>
    </row>
    <row r="208" spans="1:24" ht="15.75" thickBot="1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</row>
    <row r="209" spans="1:24" ht="15.75">
      <c r="A209" s="118" t="s">
        <v>14</v>
      </c>
      <c r="B209" s="121" t="s">
        <v>15</v>
      </c>
      <c r="C209" s="121"/>
      <c r="D209" s="121"/>
      <c r="E209" s="121"/>
      <c r="F209" s="122" t="s">
        <v>16</v>
      </c>
      <c r="G209" s="121" t="s">
        <v>17</v>
      </c>
      <c r="H209" s="121"/>
      <c r="I209" s="121" t="s">
        <v>18</v>
      </c>
      <c r="J209" s="121"/>
      <c r="K209" s="122" t="s">
        <v>19</v>
      </c>
      <c r="L209" s="122" t="s">
        <v>20</v>
      </c>
      <c r="M209" s="125" t="s">
        <v>21</v>
      </c>
      <c r="N209" s="125"/>
      <c r="O209" s="125"/>
      <c r="P209" s="125"/>
      <c r="Q209" s="9" t="s">
        <v>22</v>
      </c>
      <c r="R209" s="134" t="s">
        <v>23</v>
      </c>
      <c r="S209" s="9" t="s">
        <v>24</v>
      </c>
      <c r="T209" s="136" t="s">
        <v>25</v>
      </c>
      <c r="U209" s="136"/>
      <c r="V209" s="136" t="s">
        <v>26</v>
      </c>
      <c r="W209" s="136"/>
      <c r="X209" s="111" t="s">
        <v>27</v>
      </c>
    </row>
    <row r="210" spans="1:24" ht="15.75">
      <c r="A210" s="119"/>
      <c r="B210" s="114" t="s">
        <v>136</v>
      </c>
      <c r="C210" s="114" t="s">
        <v>137</v>
      </c>
      <c r="D210" s="114" t="s">
        <v>28</v>
      </c>
      <c r="E210" s="116" t="s">
        <v>29</v>
      </c>
      <c r="F210" s="123"/>
      <c r="G210" s="114" t="s">
        <v>30</v>
      </c>
      <c r="H210" s="114" t="s">
        <v>31</v>
      </c>
      <c r="I210" s="114" t="s">
        <v>30</v>
      </c>
      <c r="J210" s="114" t="s">
        <v>31</v>
      </c>
      <c r="K210" s="123"/>
      <c r="L210" s="123"/>
      <c r="M210" s="10" t="s">
        <v>30</v>
      </c>
      <c r="N210" s="10" t="s">
        <v>31</v>
      </c>
      <c r="O210" s="126" t="s">
        <v>32</v>
      </c>
      <c r="P210" s="126"/>
      <c r="Q210" s="11" t="s">
        <v>33</v>
      </c>
      <c r="R210" s="132"/>
      <c r="S210" s="11" t="s">
        <v>34</v>
      </c>
      <c r="T210" s="127" t="s">
        <v>35</v>
      </c>
      <c r="U210" s="128" t="s">
        <v>36</v>
      </c>
      <c r="V210" s="131" t="s">
        <v>37</v>
      </c>
      <c r="W210" s="131" t="s">
        <v>38</v>
      </c>
      <c r="X210" s="112"/>
    </row>
    <row r="211" spans="1:24" ht="15.75">
      <c r="A211" s="119"/>
      <c r="B211" s="115"/>
      <c r="C211" s="115"/>
      <c r="D211" s="115"/>
      <c r="E211" s="117"/>
      <c r="F211" s="124"/>
      <c r="G211" s="115"/>
      <c r="H211" s="115"/>
      <c r="I211" s="115"/>
      <c r="J211" s="115"/>
      <c r="K211" s="124"/>
      <c r="L211" s="124"/>
      <c r="M211" s="10" t="s">
        <v>39</v>
      </c>
      <c r="N211" s="10" t="s">
        <v>40</v>
      </c>
      <c r="O211" s="12" t="s">
        <v>41</v>
      </c>
      <c r="P211" s="12" t="s">
        <v>41</v>
      </c>
      <c r="Q211" s="11" t="s">
        <v>142</v>
      </c>
      <c r="R211" s="135"/>
      <c r="S211" s="13" t="s">
        <v>42</v>
      </c>
      <c r="T211" s="112"/>
      <c r="U211" s="129"/>
      <c r="V211" s="132"/>
      <c r="W211" s="132"/>
      <c r="X211" s="112"/>
    </row>
    <row r="212" spans="1:24" ht="16.5" thickBot="1">
      <c r="A212" s="120"/>
      <c r="B212" s="14" t="s">
        <v>43</v>
      </c>
      <c r="C212" s="14" t="s">
        <v>43</v>
      </c>
      <c r="D212" s="15" t="s">
        <v>43</v>
      </c>
      <c r="E212" s="16" t="s">
        <v>43</v>
      </c>
      <c r="F212" s="15" t="s">
        <v>9</v>
      </c>
      <c r="G212" s="15" t="s">
        <v>43</v>
      </c>
      <c r="H212" s="15" t="s">
        <v>43</v>
      </c>
      <c r="I212" s="15" t="s">
        <v>43</v>
      </c>
      <c r="J212" s="15" t="s">
        <v>43</v>
      </c>
      <c r="K212" s="15" t="s">
        <v>44</v>
      </c>
      <c r="L212" s="15" t="s">
        <v>45</v>
      </c>
      <c r="M212" s="15" t="s">
        <v>45</v>
      </c>
      <c r="N212" s="15" t="s">
        <v>45</v>
      </c>
      <c r="O212" s="17" t="s">
        <v>45</v>
      </c>
      <c r="P212" s="17" t="s">
        <v>44</v>
      </c>
      <c r="Q212" s="17" t="s">
        <v>46</v>
      </c>
      <c r="R212" s="17" t="s">
        <v>44</v>
      </c>
      <c r="S212" s="17" t="s">
        <v>47</v>
      </c>
      <c r="T212" s="113"/>
      <c r="U212" s="130"/>
      <c r="V212" s="133"/>
      <c r="W212" s="133"/>
      <c r="X212" s="113"/>
    </row>
    <row r="213" spans="1:24" ht="15.75">
      <c r="A213" s="95" t="s">
        <v>150</v>
      </c>
      <c r="B213" s="23">
        <f>1086.2-0.6</f>
        <v>1085.6000000000001</v>
      </c>
      <c r="C213" s="23">
        <f>1086.2+0.6</f>
        <v>1086.8</v>
      </c>
      <c r="D213" s="23">
        <f>((C213-B213)/2)+B213</f>
        <v>1086.2</v>
      </c>
      <c r="E213" s="21"/>
      <c r="F213" s="22">
        <f>+(C213-B213)*1000</f>
        <v>1199.9999999998181</v>
      </c>
      <c r="G213" s="23">
        <v>1085.7059999999999</v>
      </c>
      <c r="H213" s="23">
        <v>1086.694</v>
      </c>
      <c r="I213" s="24"/>
      <c r="J213" s="24"/>
      <c r="K213" s="25"/>
      <c r="L213" s="25"/>
      <c r="M213" s="24"/>
      <c r="N213" s="24"/>
      <c r="O213" s="24"/>
      <c r="P213" s="26"/>
      <c r="Q213" s="27"/>
      <c r="R213" s="26"/>
      <c r="S213" s="28"/>
      <c r="T213" s="25"/>
      <c r="U213" s="25"/>
      <c r="V213" s="25"/>
      <c r="W213" s="84"/>
      <c r="X213" s="24"/>
    </row>
    <row r="214" spans="1:24" ht="15.75">
      <c r="A214" s="53"/>
      <c r="B214" s="34"/>
      <c r="C214" s="34"/>
      <c r="D214" s="34"/>
      <c r="E214" s="32">
        <f>B215-C213</f>
        <v>6.2000000000000455</v>
      </c>
      <c r="F214" s="33"/>
      <c r="G214" s="34"/>
      <c r="H214" s="34"/>
      <c r="I214" s="35">
        <f>G215-G213</f>
        <v>7.4000000000000909</v>
      </c>
      <c r="J214" s="35">
        <f>H215-H213</f>
        <v>7.4000000000000909</v>
      </c>
      <c r="K214" s="36">
        <v>40</v>
      </c>
      <c r="L214" s="36">
        <f>(E214/K214)*60</f>
        <v>9.3000000000000682</v>
      </c>
      <c r="M214" s="37">
        <f>+I214/K214*60</f>
        <v>11.100000000000136</v>
      </c>
      <c r="N214" s="37">
        <f>+J214/K214*60</f>
        <v>11.100000000000136</v>
      </c>
      <c r="O214" s="37">
        <f>+N214+M214</f>
        <v>22.200000000000273</v>
      </c>
      <c r="P214" s="37">
        <f>+(I214+J214)/(O214/60)</f>
        <v>40</v>
      </c>
      <c r="Q214" s="38">
        <f>+U203</f>
        <v>0.15</v>
      </c>
      <c r="R214" s="37">
        <f>+P214-(P214*Q214)</f>
        <v>34</v>
      </c>
      <c r="S214" s="39">
        <f>+(I214+J214)/R214</f>
        <v>0.43529411764706416</v>
      </c>
      <c r="T214" s="36">
        <f>+(2*($C$5-$C$6)/(S214*60+$C$8))*$C$9/100</f>
        <v>64.477882797730899</v>
      </c>
      <c r="U214" s="36">
        <f>+T214/2</f>
        <v>32.23894139886545</v>
      </c>
      <c r="V214" s="36">
        <f>+U204</f>
        <v>2</v>
      </c>
      <c r="W214" s="40">
        <f>+U214-V214</f>
        <v>30.23894139886545</v>
      </c>
      <c r="X214" s="33"/>
    </row>
    <row r="215" spans="1:24" ht="15.75">
      <c r="A215" s="96" t="s">
        <v>100</v>
      </c>
      <c r="B215" s="35">
        <f>1093.6-0.6</f>
        <v>1093</v>
      </c>
      <c r="C215" s="35">
        <f>1093.6+0.6</f>
        <v>1094.1999999999998</v>
      </c>
      <c r="D215" s="35">
        <f>((C215-B215)/2)+B215</f>
        <v>1093.5999999999999</v>
      </c>
      <c r="E215" s="32"/>
      <c r="F215" s="42">
        <f>+(C215-B215)*1000</f>
        <v>1199.9999999998181</v>
      </c>
      <c r="G215" s="35">
        <v>1093.106</v>
      </c>
      <c r="H215" s="35">
        <v>1094.0940000000001</v>
      </c>
      <c r="I215" s="34"/>
      <c r="J215" s="34"/>
      <c r="K215" s="36"/>
      <c r="L215" s="36"/>
      <c r="M215" s="34"/>
      <c r="N215" s="34"/>
      <c r="O215" s="34"/>
      <c r="P215" s="37"/>
      <c r="Q215" s="38"/>
      <c r="R215" s="37"/>
      <c r="S215" s="39"/>
      <c r="T215" s="36"/>
      <c r="U215" s="36"/>
      <c r="V215" s="36"/>
      <c r="W215" s="40"/>
      <c r="X215" s="34"/>
    </row>
    <row r="216" spans="1:24" ht="15.75">
      <c r="A216" s="53"/>
      <c r="B216" s="34"/>
      <c r="C216" s="34"/>
      <c r="D216" s="34"/>
      <c r="E216" s="32">
        <f>B217-C215</f>
        <v>4.1000000000003638</v>
      </c>
      <c r="F216" s="33"/>
      <c r="G216" s="34"/>
      <c r="H216" s="34"/>
      <c r="I216" s="35">
        <f>G217-G215</f>
        <v>5.2999999999999545</v>
      </c>
      <c r="J216" s="35">
        <f>H217-H215</f>
        <v>5.2999999999999545</v>
      </c>
      <c r="K216" s="36">
        <f>+K214</f>
        <v>40</v>
      </c>
      <c r="L216" s="36">
        <f>(E216/K216)*60</f>
        <v>6.1500000000005457</v>
      </c>
      <c r="M216" s="37">
        <f>+I216/K216*60</f>
        <v>7.9499999999999318</v>
      </c>
      <c r="N216" s="37">
        <f>+J216/K216*60</f>
        <v>7.9499999999999318</v>
      </c>
      <c r="O216" s="37">
        <f>+N216+M216</f>
        <v>15.899999999999864</v>
      </c>
      <c r="P216" s="37">
        <f>+(I216+J216)/(O216/60)</f>
        <v>40</v>
      </c>
      <c r="Q216" s="38">
        <f>+Q214</f>
        <v>0.15</v>
      </c>
      <c r="R216" s="37">
        <f>+P216-(P216*Q216)</f>
        <v>34</v>
      </c>
      <c r="S216" s="39">
        <f>+(I216+J216)/R216</f>
        <v>0.31176470588235028</v>
      </c>
      <c r="T216" s="36">
        <f>+(2*($C$5-$C$6)/(S216*60+$C$8))*$C$9/100</f>
        <v>84.63722084367302</v>
      </c>
      <c r="U216" s="36">
        <f>+T216/2</f>
        <v>42.31861042183651</v>
      </c>
      <c r="V216" s="36">
        <f>+V214</f>
        <v>2</v>
      </c>
      <c r="W216" s="40">
        <f>+U216-V216</f>
        <v>40.31861042183651</v>
      </c>
      <c r="X216" s="33"/>
    </row>
    <row r="217" spans="1:24" ht="15.75">
      <c r="A217" s="96" t="s">
        <v>101</v>
      </c>
      <c r="B217" s="35">
        <f>1098.9-0.6</f>
        <v>1098.3000000000002</v>
      </c>
      <c r="C217" s="35">
        <f>1098.9+0.6</f>
        <v>1099.5</v>
      </c>
      <c r="D217" s="35">
        <f>((C217-B217)/2)+B217</f>
        <v>1098.9000000000001</v>
      </c>
      <c r="E217" s="32"/>
      <c r="F217" s="42">
        <f>+(C217-B217)*1000</f>
        <v>1199.9999999998181</v>
      </c>
      <c r="G217" s="35">
        <v>1098.4059999999999</v>
      </c>
      <c r="H217" s="35">
        <v>1099.394</v>
      </c>
      <c r="I217" s="34"/>
      <c r="J217" s="34"/>
      <c r="K217" s="36"/>
      <c r="L217" s="36"/>
      <c r="M217" s="34"/>
      <c r="N217" s="34"/>
      <c r="O217" s="34"/>
      <c r="P217" s="37"/>
      <c r="Q217" s="38"/>
      <c r="R217" s="37"/>
      <c r="S217" s="39"/>
      <c r="T217" s="36"/>
      <c r="U217" s="34"/>
      <c r="V217" s="36"/>
      <c r="W217" s="40"/>
      <c r="X217" s="34"/>
    </row>
    <row r="218" spans="1:24" ht="15.75">
      <c r="A218" s="53"/>
      <c r="B218" s="34"/>
      <c r="C218" s="34"/>
      <c r="D218" s="34"/>
      <c r="E218" s="32">
        <f>B219-C217</f>
        <v>13.5</v>
      </c>
      <c r="F218" s="33"/>
      <c r="G218" s="34"/>
      <c r="H218" s="34"/>
      <c r="I218" s="35">
        <f>G219-G217</f>
        <v>14.700000000000045</v>
      </c>
      <c r="J218" s="35">
        <f>H219-H217</f>
        <v>14.700000000000045</v>
      </c>
      <c r="K218" s="36">
        <f>+K216</f>
        <v>40</v>
      </c>
      <c r="L218" s="36">
        <f>(E218/K218)*60</f>
        <v>20.25</v>
      </c>
      <c r="M218" s="37">
        <f>+I218/K218*60</f>
        <v>22.050000000000068</v>
      </c>
      <c r="N218" s="37">
        <f>+J218/K218*60</f>
        <v>22.050000000000068</v>
      </c>
      <c r="O218" s="37">
        <f>+N218+M218</f>
        <v>44.100000000000136</v>
      </c>
      <c r="P218" s="37">
        <f>+(I218+J218)/(O218/60)</f>
        <v>40</v>
      </c>
      <c r="Q218" s="38">
        <f>+Q216</f>
        <v>0.15</v>
      </c>
      <c r="R218" s="37">
        <f>+P218-(P218*Q218)</f>
        <v>34</v>
      </c>
      <c r="S218" s="39">
        <f>+(I218+J218)/R218</f>
        <v>0.86470588235294388</v>
      </c>
      <c r="T218" s="36">
        <f>+(2*($C$5-$C$6)/(S218*60+$C$8))*$C$9/100</f>
        <v>35.272802481902687</v>
      </c>
      <c r="U218" s="36">
        <f>+T218/2</f>
        <v>17.636401240951344</v>
      </c>
      <c r="V218" s="36">
        <f>+V216</f>
        <v>2</v>
      </c>
      <c r="W218" s="40">
        <f>+U218-V218</f>
        <v>15.636401240951344</v>
      </c>
      <c r="X218" s="33"/>
    </row>
    <row r="219" spans="1:24" ht="15.75">
      <c r="A219" s="96" t="s">
        <v>102</v>
      </c>
      <c r="B219" s="35">
        <f>1113.6-0.6</f>
        <v>1113</v>
      </c>
      <c r="C219" s="35">
        <f>1113.6+0.6</f>
        <v>1114.1999999999998</v>
      </c>
      <c r="D219" s="35">
        <f>((C219-B219)/2)+B219</f>
        <v>1113.5999999999999</v>
      </c>
      <c r="E219" s="32"/>
      <c r="F219" s="42">
        <f>+(C219-B219)*1000</f>
        <v>1199.9999999998181</v>
      </c>
      <c r="G219" s="35">
        <v>1113.106</v>
      </c>
      <c r="H219" s="35">
        <v>1114.0940000000001</v>
      </c>
      <c r="I219" s="34"/>
      <c r="J219" s="34"/>
      <c r="K219" s="36"/>
      <c r="L219" s="36"/>
      <c r="M219" s="34"/>
      <c r="N219" s="34"/>
      <c r="O219" s="34"/>
      <c r="P219" s="37"/>
      <c r="Q219" s="38"/>
      <c r="R219" s="37"/>
      <c r="S219" s="39"/>
      <c r="T219" s="36"/>
      <c r="U219" s="36"/>
      <c r="V219" s="36"/>
      <c r="W219" s="40"/>
      <c r="X219" s="33"/>
    </row>
    <row r="220" spans="1:24" ht="15.75">
      <c r="A220" s="53"/>
      <c r="B220" s="35"/>
      <c r="C220" s="35"/>
      <c r="D220" s="35"/>
      <c r="E220" s="32">
        <f>B221-C219</f>
        <v>17.800000000000182</v>
      </c>
      <c r="F220" s="42"/>
      <c r="G220" s="35"/>
      <c r="H220" s="35"/>
      <c r="I220" s="35">
        <f>G221-G219</f>
        <v>19</v>
      </c>
      <c r="J220" s="35">
        <f>H221-H219</f>
        <v>19</v>
      </c>
      <c r="K220" s="36">
        <f>+K218</f>
        <v>40</v>
      </c>
      <c r="L220" s="36">
        <f>(E220/K220)*60</f>
        <v>26.700000000000273</v>
      </c>
      <c r="M220" s="37">
        <f>+I220/K220*60</f>
        <v>28.5</v>
      </c>
      <c r="N220" s="37">
        <f>+J220/K220*60</f>
        <v>28.5</v>
      </c>
      <c r="O220" s="37">
        <f>+N220+M220</f>
        <v>57</v>
      </c>
      <c r="P220" s="37">
        <f>+(I220+J220)/(O220/60)</f>
        <v>40</v>
      </c>
      <c r="Q220" s="38">
        <f>+Q218</f>
        <v>0.15</v>
      </c>
      <c r="R220" s="37">
        <f>+P220-(P220*Q220)</f>
        <v>34</v>
      </c>
      <c r="S220" s="39">
        <f>+(I220+J220)/R220</f>
        <v>1.1176470588235294</v>
      </c>
      <c r="T220" s="36">
        <f>+(2*($C$5-$C$6)/(S220*60+$C$8))*$C$9/100</f>
        <v>27.843918367346937</v>
      </c>
      <c r="U220" s="36">
        <f>+T220/2</f>
        <v>13.921959183673469</v>
      </c>
      <c r="V220" s="36">
        <f>+V218</f>
        <v>2</v>
      </c>
      <c r="W220" s="40">
        <f>+U220-V220</f>
        <v>11.921959183673469</v>
      </c>
      <c r="X220" s="33">
        <f>+W220</f>
        <v>11.921959183673469</v>
      </c>
    </row>
    <row r="221" spans="1:24" ht="16.5" thickBot="1">
      <c r="A221" s="97" t="s">
        <v>103</v>
      </c>
      <c r="B221" s="50">
        <f>1132.6-0.6</f>
        <v>1132</v>
      </c>
      <c r="C221" s="50">
        <f>1132.6+0.6</f>
        <v>1133.1999999999998</v>
      </c>
      <c r="D221" s="50">
        <f>((C221-B221)/2)+B221</f>
        <v>1132.5999999999999</v>
      </c>
      <c r="E221" s="48"/>
      <c r="F221" s="49">
        <f>+(C221-B221)*1000</f>
        <v>1199.9999999998181</v>
      </c>
      <c r="G221" s="50">
        <v>1132.106</v>
      </c>
      <c r="H221" s="50">
        <v>1133.0940000000001</v>
      </c>
      <c r="I221" s="51"/>
      <c r="J221" s="51"/>
      <c r="K221" s="52"/>
      <c r="L221" s="52"/>
      <c r="M221" s="51"/>
      <c r="N221" s="51"/>
      <c r="O221" s="51"/>
      <c r="P221" s="89"/>
      <c r="Q221" s="92"/>
      <c r="R221" s="89"/>
      <c r="S221" s="93"/>
      <c r="T221" s="52"/>
      <c r="U221" s="52"/>
      <c r="V221" s="52"/>
      <c r="W221" s="90"/>
      <c r="X221" s="98"/>
    </row>
    <row r="222" spans="1:24" ht="15.75">
      <c r="A222" s="53">
        <v>4</v>
      </c>
      <c r="B222" s="54" t="s">
        <v>14</v>
      </c>
      <c r="C222" s="54"/>
      <c r="D222" s="55"/>
      <c r="E222" s="55"/>
      <c r="F222" s="56">
        <f>SUM(F213:F221)-F213</f>
        <v>4799.9999999992724</v>
      </c>
      <c r="G222" s="35"/>
      <c r="H222" s="35"/>
      <c r="I222" s="34"/>
      <c r="J222" s="34"/>
      <c r="K222" s="36"/>
      <c r="L222" s="36"/>
      <c r="M222" s="34"/>
      <c r="N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</row>
    <row r="223" spans="1:24">
      <c r="A223" s="34"/>
      <c r="B223" s="57"/>
      <c r="C223" s="57"/>
      <c r="D223" s="58"/>
      <c r="E223" s="58"/>
      <c r="F223" s="59"/>
      <c r="G223" s="60"/>
      <c r="H223" s="60"/>
      <c r="I223" s="61"/>
      <c r="J223" s="61"/>
      <c r="K223" s="62"/>
      <c r="L223" s="62"/>
      <c r="M223" s="61"/>
      <c r="N223" s="61"/>
      <c r="O223" s="61"/>
      <c r="P223" s="34" t="s">
        <v>64</v>
      </c>
      <c r="Q223" s="34"/>
      <c r="R223" s="34"/>
      <c r="S223" s="34"/>
      <c r="T223" s="34"/>
      <c r="U223" s="36">
        <f>U220</f>
        <v>13.921959183673469</v>
      </c>
      <c r="V223" s="61"/>
      <c r="W223" s="34"/>
      <c r="X223" s="61"/>
    </row>
    <row r="224" spans="1:24">
      <c r="A224" s="34" t="s">
        <v>157</v>
      </c>
      <c r="B224" s="34"/>
      <c r="C224" s="34"/>
      <c r="D224" s="34"/>
      <c r="E224" s="81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 t="s">
        <v>65</v>
      </c>
      <c r="Q224" s="34"/>
      <c r="R224" s="34"/>
      <c r="S224" s="34"/>
      <c r="T224" s="34"/>
      <c r="U224" s="36">
        <f>W220</f>
        <v>11.921959183673469</v>
      </c>
      <c r="V224" s="33"/>
      <c r="W224" s="34"/>
      <c r="X224" s="34"/>
    </row>
    <row r="225" spans="1:24">
      <c r="A225" s="34" t="s">
        <v>66</v>
      </c>
      <c r="B225" s="34"/>
      <c r="C225" s="34"/>
      <c r="D225" s="34"/>
      <c r="E225" s="81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 t="s">
        <v>67</v>
      </c>
      <c r="Q225" s="34"/>
      <c r="R225" s="34"/>
      <c r="S225" s="34"/>
      <c r="T225" s="34"/>
      <c r="U225" s="82">
        <f>+[4]Frotas!M149</f>
        <v>702</v>
      </c>
      <c r="V225" s="34"/>
      <c r="W225" s="34"/>
      <c r="X225" s="34"/>
    </row>
    <row r="226" spans="1:24">
      <c r="A226" s="34" t="s">
        <v>159</v>
      </c>
      <c r="B226" s="34"/>
      <c r="C226" s="34"/>
      <c r="D226" s="34"/>
      <c r="E226" s="81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66" t="s">
        <v>68</v>
      </c>
      <c r="Q226" s="66"/>
      <c r="R226" s="66"/>
      <c r="S226" s="66"/>
      <c r="T226" s="66"/>
      <c r="U226" s="66">
        <f>[4]Premissas!M124</f>
        <v>300</v>
      </c>
      <c r="V226" s="66"/>
      <c r="W226" s="66"/>
      <c r="X226" s="34"/>
    </row>
    <row r="227" spans="1:24" ht="15.75">
      <c r="A227" s="34"/>
      <c r="B227" s="34"/>
      <c r="C227" s="34"/>
      <c r="D227" s="34"/>
      <c r="E227" s="81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77" t="s">
        <v>69</v>
      </c>
      <c r="Q227" s="77"/>
      <c r="R227" s="77"/>
      <c r="S227" s="77"/>
      <c r="T227" s="77"/>
      <c r="U227" s="79">
        <f>+(U224*U225*U226)/1000000</f>
        <v>2.5107646040816327</v>
      </c>
      <c r="V227" s="77"/>
      <c r="W227" s="34"/>
      <c r="X227" s="77"/>
    </row>
    <row r="228" spans="1:24" ht="15.75">
      <c r="A228" s="34"/>
      <c r="B228" s="34"/>
      <c r="C228" s="34"/>
      <c r="D228" s="34"/>
      <c r="E228" s="81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77" t="s">
        <v>69</v>
      </c>
      <c r="Q228" s="77"/>
      <c r="R228" s="77"/>
      <c r="T228" s="78">
        <f>+[4]Premissas!M117/100</f>
        <v>0.1</v>
      </c>
      <c r="U228" s="79">
        <f>+U227/(1+T228)</f>
        <v>2.2825132764378475</v>
      </c>
      <c r="V228" s="77" t="s">
        <v>70</v>
      </c>
      <c r="W228" s="34"/>
      <c r="X228" s="77"/>
    </row>
    <row r="232" spans="1:24" ht="15.75">
      <c r="A232" s="34"/>
      <c r="B232" s="109" t="s">
        <v>134</v>
      </c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</row>
    <row r="233" spans="1:24" ht="15.75">
      <c r="A233" s="91"/>
      <c r="B233" s="91"/>
      <c r="C233" s="91"/>
      <c r="D233" s="91"/>
      <c r="E233" s="91"/>
      <c r="F233" s="91"/>
      <c r="G233" s="91"/>
      <c r="H233" s="91"/>
      <c r="I233" s="91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</row>
    <row r="234" spans="1:24" ht="15.75">
      <c r="A234" s="91"/>
      <c r="B234" s="34" t="s">
        <v>0</v>
      </c>
      <c r="C234" s="81"/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 t="s">
        <v>1</v>
      </c>
      <c r="Q234" s="34"/>
      <c r="R234" s="34"/>
      <c r="S234" s="34"/>
      <c r="T234" s="34"/>
      <c r="U234" s="34"/>
      <c r="V234" s="34"/>
      <c r="W234" s="34"/>
      <c r="X234" s="34"/>
    </row>
    <row r="235" spans="1:24" ht="15.75">
      <c r="A235" s="91"/>
      <c r="B235" s="81"/>
      <c r="C235" s="82">
        <v>1440</v>
      </c>
      <c r="D235" s="34" t="s">
        <v>2</v>
      </c>
      <c r="E235" s="34"/>
      <c r="F235" s="34"/>
      <c r="G235" s="34"/>
      <c r="H235" s="34"/>
      <c r="I235" s="34"/>
      <c r="J235" s="34"/>
      <c r="K235" s="34"/>
      <c r="L235" s="34"/>
      <c r="M235" s="38"/>
      <c r="N235" s="34"/>
      <c r="O235" s="34"/>
      <c r="P235" s="34" t="s">
        <v>3</v>
      </c>
      <c r="Q235" s="34"/>
      <c r="R235" s="34"/>
      <c r="S235" s="34"/>
      <c r="T235" s="34"/>
      <c r="U235" s="38">
        <f>+[4]Premissas!M112/100</f>
        <v>0.15</v>
      </c>
      <c r="V235" s="34"/>
      <c r="W235" s="34"/>
      <c r="X235" s="34"/>
    </row>
    <row r="236" spans="1:24" ht="15.75">
      <c r="A236" s="91"/>
      <c r="B236" s="83" t="s">
        <v>4</v>
      </c>
      <c r="C236" s="34">
        <f>+C204</f>
        <v>120</v>
      </c>
      <c r="D236" s="34" t="s">
        <v>5</v>
      </c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 t="s">
        <v>6</v>
      </c>
      <c r="Q236" s="34"/>
      <c r="R236" s="34"/>
      <c r="S236" s="34"/>
      <c r="T236" s="34"/>
      <c r="U236" s="34">
        <f>+[4]Premissas!M114+[4]Premissas!M115</f>
        <v>2</v>
      </c>
      <c r="V236" s="34"/>
      <c r="W236" s="34"/>
      <c r="X236" s="34"/>
    </row>
    <row r="237" spans="1:24">
      <c r="A237" s="34"/>
      <c r="B237" s="81" t="s">
        <v>7</v>
      </c>
      <c r="C237" s="34"/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 t="s">
        <v>8</v>
      </c>
      <c r="Q237" s="34"/>
      <c r="R237" s="34"/>
      <c r="S237" s="34"/>
      <c r="T237" s="34"/>
      <c r="U237" s="82">
        <f>+[4]Frotas!M22</f>
        <v>224</v>
      </c>
      <c r="V237" s="34" t="s">
        <v>9</v>
      </c>
      <c r="W237" s="34"/>
      <c r="X237" s="34"/>
    </row>
    <row r="238" spans="1:24">
      <c r="A238" s="34"/>
      <c r="B238" s="81" t="s">
        <v>10</v>
      </c>
      <c r="C238" s="34">
        <f>+C206</f>
        <v>5</v>
      </c>
      <c r="D238" s="34" t="s">
        <v>11</v>
      </c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 t="s">
        <v>12</v>
      </c>
      <c r="Q238" s="34"/>
      <c r="R238" s="34"/>
      <c r="S238" s="34"/>
      <c r="T238" s="34"/>
      <c r="U238" s="82">
        <f>+[4]Frotas!M23</f>
        <v>435.34</v>
      </c>
      <c r="V238" s="34" t="s">
        <v>9</v>
      </c>
      <c r="W238" s="34"/>
      <c r="X238" s="34"/>
    </row>
    <row r="239" spans="1:24">
      <c r="A239" s="34"/>
      <c r="B239" s="81" t="s">
        <v>13</v>
      </c>
      <c r="C239" s="37">
        <f>+C207</f>
        <v>76</v>
      </c>
      <c r="D239" s="34" t="s">
        <v>144</v>
      </c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</row>
    <row r="240" spans="1:24" ht="15.75" thickBot="1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</row>
    <row r="241" spans="1:24" ht="15.75">
      <c r="A241" s="118" t="s">
        <v>14</v>
      </c>
      <c r="B241" s="121" t="s">
        <v>15</v>
      </c>
      <c r="C241" s="121"/>
      <c r="D241" s="121"/>
      <c r="E241" s="121"/>
      <c r="F241" s="122" t="s">
        <v>16</v>
      </c>
      <c r="G241" s="121" t="s">
        <v>17</v>
      </c>
      <c r="H241" s="121"/>
      <c r="I241" s="121" t="s">
        <v>18</v>
      </c>
      <c r="J241" s="121"/>
      <c r="K241" s="122" t="s">
        <v>19</v>
      </c>
      <c r="L241" s="122" t="s">
        <v>20</v>
      </c>
      <c r="M241" s="125" t="s">
        <v>21</v>
      </c>
      <c r="N241" s="125"/>
      <c r="O241" s="125"/>
      <c r="P241" s="125"/>
      <c r="Q241" s="9" t="s">
        <v>22</v>
      </c>
      <c r="R241" s="134" t="s">
        <v>23</v>
      </c>
      <c r="S241" s="9" t="s">
        <v>24</v>
      </c>
      <c r="T241" s="136" t="s">
        <v>25</v>
      </c>
      <c r="U241" s="136"/>
      <c r="V241" s="136" t="s">
        <v>26</v>
      </c>
      <c r="W241" s="136"/>
      <c r="X241" s="111" t="s">
        <v>27</v>
      </c>
    </row>
    <row r="242" spans="1:24" ht="15.75">
      <c r="A242" s="119"/>
      <c r="B242" s="114" t="s">
        <v>136</v>
      </c>
      <c r="C242" s="114" t="s">
        <v>137</v>
      </c>
      <c r="D242" s="114" t="s">
        <v>28</v>
      </c>
      <c r="E242" s="116" t="s">
        <v>29</v>
      </c>
      <c r="F242" s="123"/>
      <c r="G242" s="114" t="s">
        <v>30</v>
      </c>
      <c r="H242" s="114" t="s">
        <v>31</v>
      </c>
      <c r="I242" s="114" t="s">
        <v>30</v>
      </c>
      <c r="J242" s="114" t="s">
        <v>31</v>
      </c>
      <c r="K242" s="123"/>
      <c r="L242" s="123"/>
      <c r="M242" s="10" t="s">
        <v>30</v>
      </c>
      <c r="N242" s="10" t="s">
        <v>31</v>
      </c>
      <c r="O242" s="126" t="s">
        <v>32</v>
      </c>
      <c r="P242" s="126"/>
      <c r="Q242" s="11" t="s">
        <v>33</v>
      </c>
      <c r="R242" s="132"/>
      <c r="S242" s="11" t="s">
        <v>34</v>
      </c>
      <c r="T242" s="127" t="s">
        <v>35</v>
      </c>
      <c r="U242" s="128" t="s">
        <v>36</v>
      </c>
      <c r="V242" s="131" t="s">
        <v>37</v>
      </c>
      <c r="W242" s="131" t="s">
        <v>38</v>
      </c>
      <c r="X242" s="112"/>
    </row>
    <row r="243" spans="1:24" ht="15.75">
      <c r="A243" s="119"/>
      <c r="B243" s="115"/>
      <c r="C243" s="115"/>
      <c r="D243" s="115"/>
      <c r="E243" s="117"/>
      <c r="F243" s="124"/>
      <c r="G243" s="115"/>
      <c r="H243" s="115"/>
      <c r="I243" s="115"/>
      <c r="J243" s="115"/>
      <c r="K243" s="124"/>
      <c r="L243" s="124"/>
      <c r="M243" s="10" t="s">
        <v>39</v>
      </c>
      <c r="N243" s="10" t="s">
        <v>40</v>
      </c>
      <c r="O243" s="12" t="s">
        <v>41</v>
      </c>
      <c r="P243" s="12" t="s">
        <v>41</v>
      </c>
      <c r="Q243" s="11" t="s">
        <v>142</v>
      </c>
      <c r="R243" s="135"/>
      <c r="S243" s="13" t="s">
        <v>42</v>
      </c>
      <c r="T243" s="112"/>
      <c r="U243" s="129"/>
      <c r="V243" s="132"/>
      <c r="W243" s="132"/>
      <c r="X243" s="112"/>
    </row>
    <row r="244" spans="1:24" ht="16.5" thickBot="1">
      <c r="A244" s="120"/>
      <c r="B244" s="14" t="s">
        <v>43</v>
      </c>
      <c r="C244" s="14" t="s">
        <v>43</v>
      </c>
      <c r="D244" s="15" t="s">
        <v>43</v>
      </c>
      <c r="E244" s="16" t="s">
        <v>43</v>
      </c>
      <c r="F244" s="15" t="s">
        <v>9</v>
      </c>
      <c r="G244" s="15" t="s">
        <v>43</v>
      </c>
      <c r="H244" s="15" t="s">
        <v>43</v>
      </c>
      <c r="I244" s="15" t="s">
        <v>43</v>
      </c>
      <c r="J244" s="15" t="s">
        <v>43</v>
      </c>
      <c r="K244" s="15" t="s">
        <v>44</v>
      </c>
      <c r="L244" s="15" t="s">
        <v>45</v>
      </c>
      <c r="M244" s="15" t="s">
        <v>45</v>
      </c>
      <c r="N244" s="15" t="s">
        <v>45</v>
      </c>
      <c r="O244" s="17" t="s">
        <v>45</v>
      </c>
      <c r="P244" s="17" t="s">
        <v>44</v>
      </c>
      <c r="Q244" s="17" t="s">
        <v>46</v>
      </c>
      <c r="R244" s="17" t="s">
        <v>44</v>
      </c>
      <c r="S244" s="17" t="s">
        <v>47</v>
      </c>
      <c r="T244" s="113"/>
      <c r="U244" s="130"/>
      <c r="V244" s="133"/>
      <c r="W244" s="133"/>
      <c r="X244" s="113"/>
    </row>
    <row r="245" spans="1:24" ht="15.75">
      <c r="A245" s="95" t="s">
        <v>103</v>
      </c>
      <c r="B245" s="23">
        <f>1132.6-0.6</f>
        <v>1132</v>
      </c>
      <c r="C245" s="23">
        <f>1132.6+0.6</f>
        <v>1133.1999999999998</v>
      </c>
      <c r="D245" s="23">
        <f>((C245-B245)/2)+B245</f>
        <v>1132.5999999999999</v>
      </c>
      <c r="E245" s="21"/>
      <c r="F245" s="22">
        <f>+(C245-B245)*1000</f>
        <v>1199.9999999998181</v>
      </c>
      <c r="G245" s="23">
        <f>+B245+([4]Premissas!$C$109/1000+[4]Premissas!$C$110/1000/2)</f>
        <v>1132.1056699999999</v>
      </c>
      <c r="H245" s="23">
        <f>+C245-([4]Premissas!$C$109/1000+[4]Premissas!$C$110/1000/2)</f>
        <v>1133.0943299999999</v>
      </c>
      <c r="I245" s="24"/>
      <c r="J245" s="24"/>
      <c r="K245" s="25"/>
      <c r="L245" s="25"/>
      <c r="M245" s="24"/>
      <c r="N245" s="24"/>
      <c r="O245" s="24"/>
      <c r="P245" s="26"/>
      <c r="Q245" s="27"/>
      <c r="R245" s="26"/>
      <c r="S245" s="28"/>
      <c r="T245" s="25"/>
      <c r="U245" s="25"/>
      <c r="V245" s="25"/>
      <c r="W245" s="84"/>
      <c r="X245" s="24"/>
    </row>
    <row r="246" spans="1:24" ht="15.75">
      <c r="A246" s="53"/>
      <c r="B246" s="35"/>
      <c r="C246" s="35"/>
      <c r="D246" s="35"/>
      <c r="E246" s="32">
        <f>B247-B245</f>
        <v>8.4000000000000909</v>
      </c>
      <c r="F246" s="33"/>
      <c r="G246" s="34"/>
      <c r="H246" s="34"/>
      <c r="I246" s="35">
        <f>G247-G245</f>
        <v>8.4000000000000909</v>
      </c>
      <c r="J246" s="35">
        <f>H247-H245</f>
        <v>7.8000000000001819</v>
      </c>
      <c r="K246" s="36">
        <v>40</v>
      </c>
      <c r="L246" s="36">
        <f>(E246/K246)*60</f>
        <v>12.600000000000136</v>
      </c>
      <c r="M246" s="37">
        <f>+I246/K246*60</f>
        <v>12.600000000000136</v>
      </c>
      <c r="N246" s="37">
        <f>+J246/K246*60</f>
        <v>11.700000000000273</v>
      </c>
      <c r="O246" s="37">
        <f>+N246+M246</f>
        <v>24.300000000000409</v>
      </c>
      <c r="P246" s="37">
        <f>+(I246+J246)/(O246/60)</f>
        <v>40</v>
      </c>
      <c r="Q246" s="38">
        <f>+U235</f>
        <v>0.15</v>
      </c>
      <c r="R246" s="37">
        <f>+P246-(P246*Q246)</f>
        <v>34</v>
      </c>
      <c r="S246" s="39">
        <f>+(I246+J246)/R246</f>
        <v>0.47647058823530214</v>
      </c>
      <c r="T246" s="36">
        <f>+(2*($C$5-$C$6)/(S246*60+$C$8))*$C$9/100</f>
        <v>59.735201401049935</v>
      </c>
      <c r="U246" s="36">
        <f>+T246/2</f>
        <v>29.867600700524967</v>
      </c>
      <c r="V246" s="36">
        <f>+U236</f>
        <v>2</v>
      </c>
      <c r="W246" s="40">
        <f>+U246-V246</f>
        <v>27.867600700524967</v>
      </c>
      <c r="X246" s="34"/>
    </row>
    <row r="247" spans="1:24" ht="15.75">
      <c r="A247" s="96" t="s">
        <v>104</v>
      </c>
      <c r="B247" s="35">
        <f>+B245+8.4</f>
        <v>1140.4000000000001</v>
      </c>
      <c r="C247" s="35">
        <f>B247+0.6</f>
        <v>1141</v>
      </c>
      <c r="D247" s="35">
        <f>((C247-B247)/2)+B247</f>
        <v>1140.7</v>
      </c>
      <c r="E247" s="32"/>
      <c r="F247" s="42">
        <f>+(C247-B247)*1000</f>
        <v>599.99999999990905</v>
      </c>
      <c r="G247" s="35">
        <f>+B247+([4]Premissas!$C$109/1000+[4]Premissas!$C$110/1000/2)</f>
        <v>1140.50567</v>
      </c>
      <c r="H247" s="35">
        <f>+C247-([4]Premissas!$C$109/1000+[4]Premissas!$C$110/1000/2)</f>
        <v>1140.8943300000001</v>
      </c>
      <c r="I247" s="34"/>
      <c r="J247" s="34"/>
      <c r="K247" s="36"/>
      <c r="L247" s="36"/>
      <c r="M247" s="34"/>
      <c r="N247" s="34"/>
      <c r="O247" s="34"/>
      <c r="P247" s="37"/>
      <c r="Q247" s="38"/>
      <c r="R247" s="37"/>
      <c r="S247" s="39"/>
      <c r="T247" s="36"/>
      <c r="U247" s="36"/>
      <c r="V247" s="36"/>
      <c r="W247" s="40"/>
      <c r="X247" s="34"/>
    </row>
    <row r="248" spans="1:24" ht="15.75">
      <c r="A248" s="96"/>
      <c r="B248" s="35"/>
      <c r="C248" s="35"/>
      <c r="D248" s="35"/>
      <c r="E248" s="32">
        <f>B249-B247</f>
        <v>10</v>
      </c>
      <c r="F248" s="33"/>
      <c r="G248" s="34"/>
      <c r="H248" s="34"/>
      <c r="I248" s="35">
        <f>G249-G247</f>
        <v>10</v>
      </c>
      <c r="J248" s="35">
        <f>H249-H247</f>
        <v>10</v>
      </c>
      <c r="K248" s="36">
        <v>40</v>
      </c>
      <c r="L248" s="36">
        <f>(E248/K248)*60</f>
        <v>15</v>
      </c>
      <c r="M248" s="37">
        <f>+I248/K248*60</f>
        <v>15</v>
      </c>
      <c r="N248" s="37">
        <f>+J248/K248*60</f>
        <v>15</v>
      </c>
      <c r="O248" s="37">
        <f>+N248+M248</f>
        <v>30</v>
      </c>
      <c r="P248" s="37">
        <f>+(I248+J248)/(O248/60)</f>
        <v>40</v>
      </c>
      <c r="Q248" s="38">
        <f>+Q246</f>
        <v>0.15</v>
      </c>
      <c r="R248" s="37">
        <f>+P248-(P248*Q248)</f>
        <v>34</v>
      </c>
      <c r="S248" s="39">
        <f>+(I248+J248)/R248</f>
        <v>0.58823529411764708</v>
      </c>
      <c r="T248" s="36">
        <f>+(2*($C$5-$C$6)/(S248*60+$C$8))*$C$9/100</f>
        <v>49.793868613138685</v>
      </c>
      <c r="U248" s="36">
        <f>+T248/2</f>
        <v>24.896934306569342</v>
      </c>
      <c r="V248" s="36">
        <f>+V246</f>
        <v>2</v>
      </c>
      <c r="W248" s="40">
        <f>+U248-V248</f>
        <v>22.896934306569342</v>
      </c>
      <c r="X248" s="34"/>
    </row>
    <row r="249" spans="1:24" ht="15.75">
      <c r="A249" s="96" t="s">
        <v>105</v>
      </c>
      <c r="B249" s="35">
        <f>B247+10</f>
        <v>1150.4000000000001</v>
      </c>
      <c r="C249" s="35">
        <f>+B249+0.6</f>
        <v>1151</v>
      </c>
      <c r="D249" s="35">
        <f>((C249-B249)/2)+B249</f>
        <v>1150.7</v>
      </c>
      <c r="E249" s="32"/>
      <c r="F249" s="42">
        <f>+(C249-B249)*1000</f>
        <v>599.99999999990905</v>
      </c>
      <c r="G249" s="35">
        <f>+B249+([4]Premissas!$C$109/1000+[4]Premissas!$C$110/1000/2)</f>
        <v>1150.50567</v>
      </c>
      <c r="H249" s="35">
        <f>+C249-([4]Premissas!$C$109/1000+[4]Premissas!$C$110/1000/2)</f>
        <v>1150.8943300000001</v>
      </c>
      <c r="I249" s="34"/>
      <c r="J249" s="34"/>
      <c r="K249" s="36"/>
      <c r="L249" s="36"/>
      <c r="M249" s="34"/>
      <c r="N249" s="34"/>
      <c r="O249" s="34"/>
      <c r="P249" s="37"/>
      <c r="Q249" s="38"/>
      <c r="R249" s="37"/>
      <c r="S249" s="39"/>
      <c r="T249" s="36"/>
      <c r="U249" s="34"/>
      <c r="V249" s="36"/>
      <c r="W249" s="40"/>
      <c r="X249" s="34"/>
    </row>
    <row r="250" spans="1:24" ht="15.75">
      <c r="A250" s="53"/>
      <c r="B250" s="35"/>
      <c r="C250" s="35"/>
      <c r="D250" s="35"/>
      <c r="E250" s="32">
        <f>B251-B249</f>
        <v>12.5</v>
      </c>
      <c r="F250" s="33"/>
      <c r="G250" s="35"/>
      <c r="H250" s="35"/>
      <c r="I250" s="35">
        <f>G251-G249</f>
        <v>12.5</v>
      </c>
      <c r="J250" s="35">
        <f>H251-H249</f>
        <v>12.5</v>
      </c>
      <c r="K250" s="36">
        <v>40</v>
      </c>
      <c r="L250" s="36">
        <f>(E250/K250)*60</f>
        <v>18.75</v>
      </c>
      <c r="M250" s="37">
        <f>+I250/K250*60</f>
        <v>18.75</v>
      </c>
      <c r="N250" s="37">
        <f>+J250/K250*60</f>
        <v>18.75</v>
      </c>
      <c r="O250" s="37">
        <f>+N250+M250</f>
        <v>37.5</v>
      </c>
      <c r="P250" s="37">
        <f>+(I250+J250)/(O250/60)</f>
        <v>40</v>
      </c>
      <c r="Q250" s="38">
        <f>+Q248</f>
        <v>0.15</v>
      </c>
      <c r="R250" s="37">
        <f>+P250-(P250*Q250)</f>
        <v>34</v>
      </c>
      <c r="S250" s="39">
        <f>+(I250+J250)/R250</f>
        <v>0.73529411764705888</v>
      </c>
      <c r="T250" s="36">
        <f>+(2*($C$5-$C$6)/(S250*60+$C$8))*$C$9/100</f>
        <v>40.8488622754491</v>
      </c>
      <c r="U250" s="36">
        <f>+T250/2</f>
        <v>20.42443113772455</v>
      </c>
      <c r="V250" s="36">
        <f>+V248</f>
        <v>2</v>
      </c>
      <c r="W250" s="40">
        <f>+U250-V250</f>
        <v>18.42443113772455</v>
      </c>
      <c r="X250" s="34"/>
    </row>
    <row r="251" spans="1:24" ht="15.75">
      <c r="A251" s="96" t="s">
        <v>106</v>
      </c>
      <c r="B251" s="35">
        <f>+B249+12.5</f>
        <v>1162.9000000000001</v>
      </c>
      <c r="C251" s="35">
        <f>B251+0.6</f>
        <v>1163.5</v>
      </c>
      <c r="D251" s="35">
        <f>((C251-B251)/2)+B251</f>
        <v>1163.2</v>
      </c>
      <c r="E251" s="32"/>
      <c r="F251" s="42">
        <f>+(C251-B251)*1000</f>
        <v>599.99999999990905</v>
      </c>
      <c r="G251" s="35">
        <f>+B251+([4]Premissas!$C$109/1000+[4]Premissas!$C$110/1000/2)</f>
        <v>1163.00567</v>
      </c>
      <c r="H251" s="35">
        <f>+C251-([4]Premissas!$C$109/1000+[4]Premissas!$C$110/1000/2)</f>
        <v>1163.3943300000001</v>
      </c>
      <c r="I251" s="34"/>
      <c r="J251" s="34"/>
      <c r="K251" s="36"/>
      <c r="L251" s="36"/>
      <c r="M251" s="34"/>
      <c r="N251" s="34"/>
      <c r="O251" s="34"/>
      <c r="P251" s="37"/>
      <c r="Q251" s="38"/>
      <c r="R251" s="37"/>
      <c r="S251" s="39"/>
      <c r="T251" s="36"/>
      <c r="U251" s="36"/>
      <c r="V251" s="36"/>
      <c r="W251" s="40"/>
      <c r="X251" s="34"/>
    </row>
    <row r="252" spans="1:24" ht="15.75">
      <c r="A252" s="53"/>
      <c r="B252" s="35"/>
      <c r="C252" s="35"/>
      <c r="D252" s="35"/>
      <c r="E252" s="32">
        <f>B253-B251</f>
        <v>10.5</v>
      </c>
      <c r="F252" s="42"/>
      <c r="G252" s="34"/>
      <c r="H252" s="34"/>
      <c r="I252" s="35">
        <f>G253-G251</f>
        <v>10.5</v>
      </c>
      <c r="J252" s="35">
        <f>H253-H251</f>
        <v>10.5</v>
      </c>
      <c r="K252" s="36">
        <v>40</v>
      </c>
      <c r="L252" s="36">
        <f>(E252/K252)*60</f>
        <v>15.75</v>
      </c>
      <c r="M252" s="37">
        <f>+I252/K252*60</f>
        <v>15.75</v>
      </c>
      <c r="N252" s="37">
        <f>+J252/K252*60</f>
        <v>15.75</v>
      </c>
      <c r="O252" s="37">
        <f>+N252+M252</f>
        <v>31.5</v>
      </c>
      <c r="P252" s="37">
        <f>+(I252+J252)/(O252/60)</f>
        <v>40</v>
      </c>
      <c r="Q252" s="38">
        <f>+Q250</f>
        <v>0.15</v>
      </c>
      <c r="R252" s="37">
        <f>+P252-(P252*Q252)</f>
        <v>34</v>
      </c>
      <c r="S252" s="39">
        <f>+(I252+J252)/R252</f>
        <v>0.61764705882352944</v>
      </c>
      <c r="T252" s="36">
        <f>+(2*($C$5-$C$6)/(S252*60+$C$8))*$C$9/100</f>
        <v>47.70461538461538</v>
      </c>
      <c r="U252" s="36">
        <f>+T252/2</f>
        <v>23.85230769230769</v>
      </c>
      <c r="V252" s="36">
        <f>+V250</f>
        <v>2</v>
      </c>
      <c r="W252" s="40">
        <f>+U252-V252</f>
        <v>21.85230769230769</v>
      </c>
      <c r="X252" s="34"/>
    </row>
    <row r="253" spans="1:24" ht="15.75">
      <c r="A253" s="96" t="s">
        <v>107</v>
      </c>
      <c r="B253" s="35">
        <f>+B251+10.5</f>
        <v>1173.4000000000001</v>
      </c>
      <c r="C253" s="35">
        <f>B253+0.6</f>
        <v>1174</v>
      </c>
      <c r="D253" s="35">
        <f>((C253-B253)/2)+B253</f>
        <v>1173.7</v>
      </c>
      <c r="E253" s="32"/>
      <c r="F253" s="42">
        <f>+(C253-B253)*1000</f>
        <v>599.99999999990905</v>
      </c>
      <c r="G253" s="35">
        <f>+B253+([4]Premissas!$C$109/1000+[4]Premissas!$C$110/1000/2)</f>
        <v>1173.50567</v>
      </c>
      <c r="H253" s="35">
        <f>+C253-([4]Premissas!$C$109/1000+[4]Premissas!$C$110/1000/2)</f>
        <v>1173.8943300000001</v>
      </c>
      <c r="I253" s="34"/>
      <c r="J253" s="34"/>
      <c r="K253" s="36"/>
      <c r="L253" s="36"/>
      <c r="M253" s="34"/>
      <c r="N253" s="34"/>
      <c r="O253" s="34"/>
      <c r="P253" s="37"/>
      <c r="Q253" s="38"/>
      <c r="R253" s="37"/>
      <c r="S253" s="39"/>
      <c r="T253" s="36"/>
      <c r="U253" s="36"/>
      <c r="V253" s="36"/>
      <c r="W253" s="40"/>
      <c r="X253" s="34"/>
    </row>
    <row r="254" spans="1:24" ht="15.75" hidden="1">
      <c r="A254" s="53"/>
      <c r="B254" s="35"/>
      <c r="C254" s="35"/>
      <c r="D254" s="35"/>
      <c r="E254" s="32"/>
      <c r="F254" s="42"/>
      <c r="G254" s="35"/>
      <c r="H254" s="35"/>
      <c r="I254" s="35"/>
      <c r="J254" s="35"/>
      <c r="K254" s="36"/>
      <c r="L254" s="36"/>
      <c r="M254" s="37"/>
      <c r="N254" s="37"/>
      <c r="O254" s="37"/>
      <c r="P254" s="37"/>
      <c r="Q254" s="38"/>
      <c r="R254" s="37"/>
      <c r="S254" s="39"/>
      <c r="T254" s="36"/>
      <c r="U254" s="36"/>
      <c r="V254" s="36"/>
      <c r="W254" s="40"/>
      <c r="X254" s="34"/>
    </row>
    <row r="255" spans="1:24" ht="15.75" hidden="1">
      <c r="A255" s="96" t="s">
        <v>108</v>
      </c>
      <c r="B255" s="35"/>
      <c r="C255" s="35"/>
      <c r="D255" s="35"/>
      <c r="E255" s="32"/>
      <c r="F255" s="42"/>
      <c r="G255" s="35"/>
      <c r="H255" s="35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/>
      <c r="T255" s="34"/>
      <c r="U255" s="34"/>
      <c r="V255" s="34"/>
      <c r="W255" s="34"/>
      <c r="X255" s="34"/>
    </row>
    <row r="256" spans="1:24" ht="15.75">
      <c r="A256" s="53"/>
      <c r="B256" s="35"/>
      <c r="C256" s="35"/>
      <c r="D256" s="35"/>
      <c r="E256" s="32">
        <f>+B257-B253</f>
        <v>12.900000000000091</v>
      </c>
      <c r="F256" s="42"/>
      <c r="G256" s="35"/>
      <c r="H256" s="35"/>
      <c r="I256" s="35">
        <f>+G257-G253</f>
        <v>12.900000000000091</v>
      </c>
      <c r="J256" s="35">
        <f>+H257-H253</f>
        <v>12.900000000000091</v>
      </c>
      <c r="K256" s="36">
        <v>30</v>
      </c>
      <c r="L256" s="36">
        <f>(E256/K256)*60</f>
        <v>25.800000000000182</v>
      </c>
      <c r="M256" s="37">
        <f>+I256/K256*60</f>
        <v>25.800000000000182</v>
      </c>
      <c r="N256" s="37">
        <f>+J256/K256*60</f>
        <v>25.800000000000182</v>
      </c>
      <c r="O256" s="37">
        <f>+N256+M256</f>
        <v>51.600000000000364</v>
      </c>
      <c r="P256" s="37">
        <f>+(I256+J256)/(O256/60)</f>
        <v>30</v>
      </c>
      <c r="Q256" s="38">
        <f>+Q252</f>
        <v>0.15</v>
      </c>
      <c r="R256" s="37">
        <f>+P256-(P256*Q256)</f>
        <v>25.5</v>
      </c>
      <c r="S256" s="39">
        <f>+(I256+J256)/R256</f>
        <v>1.01176470588236</v>
      </c>
      <c r="T256" s="36">
        <f>+(2*($C$5-$C$6)/(S256*60+$C$8))*$C$9/100</f>
        <v>30.536078782452801</v>
      </c>
      <c r="U256" s="36">
        <f>+T256/2</f>
        <v>15.268039391226401</v>
      </c>
      <c r="V256" s="36">
        <f>+V252</f>
        <v>2</v>
      </c>
      <c r="W256" s="40">
        <f>+U256-V256</f>
        <v>13.268039391226401</v>
      </c>
      <c r="X256" s="34"/>
    </row>
    <row r="257" spans="1:24" ht="15.75">
      <c r="A257" s="96" t="s">
        <v>153</v>
      </c>
      <c r="B257" s="35">
        <f>+B253+12.9</f>
        <v>1186.3000000000002</v>
      </c>
      <c r="C257" s="35">
        <f>B257+0.6</f>
        <v>1186.9000000000001</v>
      </c>
      <c r="D257" s="35">
        <f>((C257-B257)/2)+B257</f>
        <v>1186.6000000000001</v>
      </c>
      <c r="E257" s="32"/>
      <c r="F257" s="42">
        <f>+(C257-B257)*1000</f>
        <v>599.99999999990905</v>
      </c>
      <c r="G257" s="35">
        <f>+B257+([4]Premissas!$C$109/1000+[4]Premissas!$C$110/1000/2)</f>
        <v>1186.4056700000001</v>
      </c>
      <c r="H257" s="35">
        <f>+C257-([4]Premissas!$C$109/1000+[4]Premissas!$C$110/1000/2)</f>
        <v>1186.7943300000002</v>
      </c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</row>
    <row r="258" spans="1:24" ht="15.75">
      <c r="A258" s="96"/>
      <c r="B258" s="35"/>
      <c r="C258" s="35"/>
      <c r="D258" s="35"/>
      <c r="E258" s="32">
        <f>+B259-B257</f>
        <v>13.299999999999955</v>
      </c>
      <c r="F258" s="42"/>
      <c r="G258" s="34"/>
      <c r="H258" s="34"/>
      <c r="I258" s="35">
        <f>G259-G257</f>
        <v>13.299999999999955</v>
      </c>
      <c r="J258" s="35">
        <f>H259-H257</f>
        <v>13.299999999999955</v>
      </c>
      <c r="K258" s="36">
        <v>30</v>
      </c>
      <c r="L258" s="36">
        <f>(E258/K258)*60</f>
        <v>26.599999999999909</v>
      </c>
      <c r="M258" s="37">
        <f>+I258/K258*60</f>
        <v>26.599999999999909</v>
      </c>
      <c r="N258" s="37">
        <f>+J258/K258*60</f>
        <v>26.599999999999909</v>
      </c>
      <c r="O258" s="37">
        <f>+N258+M258</f>
        <v>53.199999999999818</v>
      </c>
      <c r="P258" s="37">
        <f>+(I258+J258)/(O258/60)</f>
        <v>30</v>
      </c>
      <c r="Q258" s="38">
        <f>+Q256</f>
        <v>0.15</v>
      </c>
      <c r="R258" s="37">
        <f>+P258-(P258*Q258)</f>
        <v>25.5</v>
      </c>
      <c r="S258" s="39">
        <f>+(I258+J258)/R258</f>
        <v>1.0431372549019573</v>
      </c>
      <c r="T258" s="36">
        <f>+(2*($C$5-$C$6)/(S258*60+$C$8))*$C$9/100</f>
        <v>29.685639686684166</v>
      </c>
      <c r="U258" s="36">
        <f>+T258/2</f>
        <v>14.842819843342083</v>
      </c>
      <c r="V258" s="36">
        <f>+V256</f>
        <v>2</v>
      </c>
      <c r="W258" s="40">
        <f>+U258-V258</f>
        <v>12.842819843342083</v>
      </c>
      <c r="X258" s="34"/>
    </row>
    <row r="259" spans="1:24" ht="15.75">
      <c r="A259" s="96" t="s">
        <v>109</v>
      </c>
      <c r="B259" s="35">
        <f>B257+13.3</f>
        <v>1199.6000000000001</v>
      </c>
      <c r="C259" s="35">
        <f>B259+0.6</f>
        <v>1200.2</v>
      </c>
      <c r="D259" s="35">
        <f>((C259-B259)/2)+B259</f>
        <v>1199.9000000000001</v>
      </c>
      <c r="E259" s="32"/>
      <c r="F259" s="42">
        <f>+(C259-B259)*1000</f>
        <v>599.99999999990905</v>
      </c>
      <c r="G259" s="35">
        <f>+B259+([4]Premissas!$C$109/1000+[4]Premissas!$C$110/1000/2)</f>
        <v>1199.7056700000001</v>
      </c>
      <c r="H259" s="35">
        <f>+C259-([4]Premissas!$C$109/1000+[4]Premissas!$C$110/1000/2)</f>
        <v>1200.0943300000001</v>
      </c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</row>
    <row r="260" spans="1:24" ht="15.75">
      <c r="A260" s="96"/>
      <c r="B260" s="35"/>
      <c r="C260" s="35"/>
      <c r="D260" s="35"/>
      <c r="E260" s="32">
        <f>+B261-B259</f>
        <v>12.099999999999909</v>
      </c>
      <c r="F260" s="42"/>
      <c r="G260" s="34"/>
      <c r="H260" s="34"/>
      <c r="I260" s="35">
        <f>G261-G259</f>
        <v>12.099999999999909</v>
      </c>
      <c r="J260" s="35">
        <f>H261-H259</f>
        <v>12.099999999999909</v>
      </c>
      <c r="K260" s="36">
        <v>30</v>
      </c>
      <c r="L260" s="36">
        <f>(E260/K260)*60</f>
        <v>24.199999999999818</v>
      </c>
      <c r="M260" s="37">
        <f>+I260/K260*60</f>
        <v>24.199999999999818</v>
      </c>
      <c r="N260" s="37">
        <f>+J260/K260*60</f>
        <v>24.199999999999818</v>
      </c>
      <c r="O260" s="37">
        <f>+N260+M260</f>
        <v>48.399999999999636</v>
      </c>
      <c r="P260" s="37">
        <f>+(I260+J260)/(O260/60)</f>
        <v>30</v>
      </c>
      <c r="Q260" s="38">
        <f>+Q258</f>
        <v>0.15</v>
      </c>
      <c r="R260" s="37">
        <f>+P260-(P260*Q260)</f>
        <v>25.5</v>
      </c>
      <c r="S260" s="39">
        <f>+(I260+J260)/R260</f>
        <v>0.94901960784313011</v>
      </c>
      <c r="T260" s="36">
        <f>+(2*($C$5-$C$6)/(S260*60+$C$8))*$C$9/100</f>
        <v>32.39202279202302</v>
      </c>
      <c r="U260" s="36">
        <f>+T260/2</f>
        <v>16.19601139601151</v>
      </c>
      <c r="V260" s="36">
        <f>+V258</f>
        <v>2</v>
      </c>
      <c r="W260" s="40">
        <f>+U260-V260</f>
        <v>14.19601139601151</v>
      </c>
      <c r="X260" s="34"/>
    </row>
    <row r="261" spans="1:24" ht="15.75">
      <c r="A261" s="96" t="s">
        <v>110</v>
      </c>
      <c r="B261" s="35">
        <f>B259+12.1</f>
        <v>1211.7</v>
      </c>
      <c r="C261" s="35">
        <f>B261+0.6</f>
        <v>1212.3</v>
      </c>
      <c r="D261" s="35">
        <f>((C261-B261)/2)+B261</f>
        <v>1212</v>
      </c>
      <c r="E261" s="32"/>
      <c r="F261" s="42">
        <f>+(C261-B261)*1000</f>
        <v>599.99999999990905</v>
      </c>
      <c r="G261" s="35">
        <f>+B261+([4]Premissas!$C$109/1000+[4]Premissas!$C$110/1000/2)</f>
        <v>1211.80567</v>
      </c>
      <c r="H261" s="35">
        <f>+C261-([4]Premissas!$C$109/1000+[4]Premissas!$C$110/1000/2)</f>
        <v>1212.19433</v>
      </c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</row>
    <row r="262" spans="1:24" ht="15.75">
      <c r="A262" s="96"/>
      <c r="B262" s="35"/>
      <c r="C262" s="35"/>
      <c r="D262" s="35"/>
      <c r="E262" s="32">
        <f>+B263-B261</f>
        <v>13.200000000000045</v>
      </c>
      <c r="F262" s="42"/>
      <c r="G262" s="35"/>
      <c r="H262" s="35"/>
      <c r="I262" s="35">
        <f>G263-G261</f>
        <v>13.200000000000045</v>
      </c>
      <c r="J262" s="35">
        <f>H263-H261</f>
        <v>13.200000000000045</v>
      </c>
      <c r="K262" s="36">
        <v>30</v>
      </c>
      <c r="L262" s="36">
        <f>(E262/K262)*60</f>
        <v>26.400000000000091</v>
      </c>
      <c r="M262" s="37">
        <f>+I262/K262*60</f>
        <v>26.400000000000091</v>
      </c>
      <c r="N262" s="37">
        <f>+J262/K262*60</f>
        <v>26.400000000000091</v>
      </c>
      <c r="O262" s="37">
        <f>+N262+M262</f>
        <v>52.800000000000182</v>
      </c>
      <c r="P262" s="37">
        <f>+(I262+J262)/(O262/60)</f>
        <v>30</v>
      </c>
      <c r="Q262" s="38">
        <f>+Q260</f>
        <v>0.15</v>
      </c>
      <c r="R262" s="37">
        <f>+P262-(P262*Q262)</f>
        <v>25.5</v>
      </c>
      <c r="S262" s="39">
        <f>+(I262+J262)/R262</f>
        <v>1.0352941176470625</v>
      </c>
      <c r="T262" s="36">
        <f>+(2*($C$5-$C$6)/(S262*60+$C$8))*$C$9/100</f>
        <v>29.89377738825582</v>
      </c>
      <c r="U262" s="36">
        <f>+T262/2</f>
        <v>14.94688869412791</v>
      </c>
      <c r="V262" s="36">
        <f>+V260</f>
        <v>2</v>
      </c>
      <c r="W262" s="40">
        <f>+U262-V262</f>
        <v>12.94688869412791</v>
      </c>
      <c r="X262" s="34"/>
    </row>
    <row r="263" spans="1:24" ht="15.75">
      <c r="A263" s="96" t="s">
        <v>111</v>
      </c>
      <c r="B263" s="35">
        <f>B261+13.2</f>
        <v>1224.9000000000001</v>
      </c>
      <c r="C263" s="35">
        <f>B263+0.6</f>
        <v>1225.5</v>
      </c>
      <c r="D263" s="35">
        <f>((C263-B263)/2)+B263</f>
        <v>1225.2</v>
      </c>
      <c r="E263" s="32"/>
      <c r="F263" s="42">
        <f>+(C263-B263)*1000</f>
        <v>599.99999999990905</v>
      </c>
      <c r="G263" s="35">
        <f>+B263+([4]Premissas!$C$109/1000+[4]Premissas!$C$110/1000/2)</f>
        <v>1225.00567</v>
      </c>
      <c r="H263" s="35">
        <f>+C263-([4]Premissas!$C$109/1000+[4]Premissas!$C$110/1000/2)</f>
        <v>1225.3943300000001</v>
      </c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</row>
    <row r="264" spans="1:24" ht="15.75">
      <c r="A264" s="96"/>
      <c r="B264" s="35"/>
      <c r="C264" s="35"/>
      <c r="D264" s="35"/>
      <c r="E264" s="32">
        <f>+B265-B263</f>
        <v>9</v>
      </c>
      <c r="F264" s="42"/>
      <c r="G264" s="34"/>
      <c r="H264" s="34"/>
      <c r="I264" s="35">
        <f>G265-G263</f>
        <v>9</v>
      </c>
      <c r="J264" s="35">
        <f>H265-H263</f>
        <v>9</v>
      </c>
      <c r="K264" s="36">
        <v>30</v>
      </c>
      <c r="L264" s="36">
        <f>(E264/K264)*60</f>
        <v>18</v>
      </c>
      <c r="M264" s="37">
        <f>+I264/K264*60</f>
        <v>18</v>
      </c>
      <c r="N264" s="37">
        <f>+J264/K264*60</f>
        <v>18</v>
      </c>
      <c r="O264" s="37">
        <f>+N264+M264</f>
        <v>36</v>
      </c>
      <c r="P264" s="37">
        <f>+(I264+J264)/(O264/60)</f>
        <v>30</v>
      </c>
      <c r="Q264" s="38">
        <f>+Q262</f>
        <v>0.15</v>
      </c>
      <c r="R264" s="37">
        <f>+P264-(P264*Q264)</f>
        <v>25.5</v>
      </c>
      <c r="S264" s="39">
        <f>+(I264+J264)/R264</f>
        <v>0.70588235294117652</v>
      </c>
      <c r="T264" s="36">
        <f>+(2*($C$5-$C$6)/(S264*60+$C$8))*$C$9/100</f>
        <v>42.371180124223592</v>
      </c>
      <c r="U264" s="36">
        <f>+T264/2</f>
        <v>21.185590062111796</v>
      </c>
      <c r="V264" s="36">
        <f>+V262</f>
        <v>2</v>
      </c>
      <c r="W264" s="40">
        <f>+U264-V264</f>
        <v>19.185590062111796</v>
      </c>
      <c r="X264" s="34"/>
    </row>
    <row r="265" spans="1:24" ht="15.75">
      <c r="A265" s="96" t="s">
        <v>112</v>
      </c>
      <c r="B265" s="35">
        <f>B263+9</f>
        <v>1233.9000000000001</v>
      </c>
      <c r="C265" s="35">
        <f>B265+0.6</f>
        <v>1234.5</v>
      </c>
      <c r="D265" s="35">
        <f>((C265-B265)/2)+B265</f>
        <v>1234.2</v>
      </c>
      <c r="E265" s="32"/>
      <c r="F265" s="42">
        <f>+(C265-B265)*1000</f>
        <v>599.99999999990905</v>
      </c>
      <c r="G265" s="35">
        <f>+B265+([4]Premissas!$C$109/1000+[4]Premissas!$C$110/1000/2)</f>
        <v>1234.00567</v>
      </c>
      <c r="H265" s="35">
        <f>+C265-([4]Premissas!$C$109/1000+[4]Premissas!$C$110/1000/2)</f>
        <v>1234.3943300000001</v>
      </c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</row>
    <row r="266" spans="1:24" ht="15.75">
      <c r="A266" s="96"/>
      <c r="B266" s="35"/>
      <c r="C266" s="35"/>
      <c r="D266" s="35"/>
      <c r="E266" s="32">
        <f>B267-C265</f>
        <v>8.1000000000001364</v>
      </c>
      <c r="F266" s="42"/>
      <c r="G266" s="35"/>
      <c r="H266" s="35"/>
      <c r="I266" s="35">
        <f>G267-G265</f>
        <v>8.7000000000000455</v>
      </c>
      <c r="J266" s="35">
        <f>H267-H265</f>
        <v>8.7000000000000455</v>
      </c>
      <c r="K266" s="36">
        <v>30</v>
      </c>
      <c r="L266" s="36">
        <f>(E266/K266)*60</f>
        <v>16.200000000000273</v>
      </c>
      <c r="M266" s="37">
        <f>+I266/K266*60</f>
        <v>17.400000000000091</v>
      </c>
      <c r="N266" s="37">
        <f>+J266/K266*60</f>
        <v>17.400000000000091</v>
      </c>
      <c r="O266" s="37">
        <f>+N266+M266</f>
        <v>34.800000000000182</v>
      </c>
      <c r="P266" s="37">
        <f>+(I266+J266)/(O266/60)</f>
        <v>29.999999999999996</v>
      </c>
      <c r="Q266" s="38">
        <f>+Q264</f>
        <v>0.15</v>
      </c>
      <c r="R266" s="37">
        <f>+P266-(P266*Q266)</f>
        <v>25.499999999999996</v>
      </c>
      <c r="S266" s="39">
        <f>+(I266+J266)/R266</f>
        <v>0.68235294117647427</v>
      </c>
      <c r="T266" s="36">
        <f>+(2*($C$5-$C$6)/(S266*60+$C$8))*$C$9/100</f>
        <v>43.673239436619504</v>
      </c>
      <c r="U266" s="36">
        <f>+T266/2</f>
        <v>21.836619718309752</v>
      </c>
      <c r="V266" s="36">
        <f>+V264</f>
        <v>2</v>
      </c>
      <c r="W266" s="40">
        <f>+U266-V266</f>
        <v>19.836619718309752</v>
      </c>
      <c r="X266" s="34"/>
    </row>
    <row r="267" spans="1:24" ht="15.75">
      <c r="A267" s="96" t="s">
        <v>113</v>
      </c>
      <c r="B267" s="35">
        <f>B265+8.7</f>
        <v>1242.6000000000001</v>
      </c>
      <c r="C267" s="35">
        <f>B267+0.6</f>
        <v>1243.2</v>
      </c>
      <c r="D267" s="35">
        <f>((C267-B267)/2)+B267</f>
        <v>1242.9000000000001</v>
      </c>
      <c r="E267" s="32"/>
      <c r="F267" s="42">
        <f>+(C267-B267)*1000</f>
        <v>599.99999999990905</v>
      </c>
      <c r="G267" s="35">
        <f>+B267+([4]Premissas!$C$109/1000+[4]Premissas!$C$110/1000/2)</f>
        <v>1242.7056700000001</v>
      </c>
      <c r="H267" s="35">
        <f>+C267-([4]Premissas!$C$109/1000+[4]Premissas!$C$110/1000/2)</f>
        <v>1243.0943300000001</v>
      </c>
      <c r="I267" s="34"/>
      <c r="J267" s="34"/>
      <c r="K267" s="34"/>
      <c r="L267" s="34"/>
      <c r="M267" s="34"/>
      <c r="N267" s="34"/>
      <c r="O267" s="34"/>
      <c r="P267" s="34"/>
      <c r="Q267" s="34"/>
      <c r="R267" s="34"/>
      <c r="S267" s="34"/>
      <c r="T267" s="34"/>
      <c r="U267" s="34"/>
      <c r="V267" s="34"/>
      <c r="W267" s="34"/>
      <c r="X267" s="34"/>
    </row>
    <row r="268" spans="1:24" ht="15.75">
      <c r="A268" s="96"/>
      <c r="B268" s="35"/>
      <c r="C268" s="35"/>
      <c r="D268" s="35"/>
      <c r="E268" s="32">
        <f>+B269-B267</f>
        <v>21.400000000000091</v>
      </c>
      <c r="F268" s="42"/>
      <c r="G268" s="34"/>
      <c r="H268" s="34"/>
      <c r="I268" s="35">
        <f>G269-G267</f>
        <v>21.400000000000091</v>
      </c>
      <c r="J268" s="35">
        <f>H269-H267</f>
        <v>21.400000000000091</v>
      </c>
      <c r="K268" s="36">
        <v>30</v>
      </c>
      <c r="L268" s="36">
        <f>(E268/K268)*60</f>
        <v>42.800000000000182</v>
      </c>
      <c r="M268" s="37">
        <f>+I268/K268*60</f>
        <v>42.800000000000182</v>
      </c>
      <c r="N268" s="37">
        <f>+J268/K268*60</f>
        <v>42.800000000000182</v>
      </c>
      <c r="O268" s="37">
        <f>+N268+M268</f>
        <v>85.600000000000364</v>
      </c>
      <c r="P268" s="37">
        <f>+(I268+J268)/(O268/60)</f>
        <v>30</v>
      </c>
      <c r="Q268" s="38">
        <f>+Q266</f>
        <v>0.15</v>
      </c>
      <c r="R268" s="37">
        <f>+P268-(P268*Q268)</f>
        <v>25.5</v>
      </c>
      <c r="S268" s="39">
        <f>+(I268+J268)/R268</f>
        <v>1.6784313725490267</v>
      </c>
      <c r="T268" s="36">
        <f>+(2*($C$5-$C$6)/(S268*60+$C$8))*$C$9/100</f>
        <v>18.980968280467369</v>
      </c>
      <c r="U268" s="36">
        <f>+T268/2</f>
        <v>9.4904841402336846</v>
      </c>
      <c r="V268" s="36">
        <f>+V266</f>
        <v>2</v>
      </c>
      <c r="W268" s="40">
        <f>+U268-V268</f>
        <v>7.4904841402336846</v>
      </c>
      <c r="X268" s="34"/>
    </row>
    <row r="269" spans="1:24" ht="15.75">
      <c r="A269" s="96" t="s">
        <v>114</v>
      </c>
      <c r="B269" s="35">
        <f>B267+21.4</f>
        <v>1264.0000000000002</v>
      </c>
      <c r="C269" s="35">
        <f>B269+0.6</f>
        <v>1264.6000000000001</v>
      </c>
      <c r="D269" s="35">
        <f>((C269-B269)/2)+B269</f>
        <v>1264.3000000000002</v>
      </c>
      <c r="E269" s="32"/>
      <c r="F269" s="42">
        <f>+(C269-B269)*1000</f>
        <v>599.99999999990905</v>
      </c>
      <c r="G269" s="35">
        <f>+B269+([4]Premissas!$C$109/1000+[4]Premissas!$C$110/1000/2)</f>
        <v>1264.1056700000001</v>
      </c>
      <c r="H269" s="35">
        <f>+C269-([4]Premissas!$C$109/1000+[4]Premissas!$C$110/1000/2)</f>
        <v>1264.4943300000002</v>
      </c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</row>
    <row r="270" spans="1:24" ht="15.75">
      <c r="A270" s="96"/>
      <c r="B270" s="35"/>
      <c r="C270" s="35"/>
      <c r="D270" s="35"/>
      <c r="E270" s="32">
        <f>+B271-B269</f>
        <v>24.799999999999955</v>
      </c>
      <c r="F270" s="42"/>
      <c r="G270" s="34"/>
      <c r="H270" s="34"/>
      <c r="I270" s="35">
        <f>G271-G269</f>
        <v>24.799999999999955</v>
      </c>
      <c r="J270" s="35">
        <f>H271-H269</f>
        <v>24.799999999999955</v>
      </c>
      <c r="K270" s="36">
        <v>30</v>
      </c>
      <c r="L270" s="36">
        <f>(E270/K270)*60</f>
        <v>49.599999999999909</v>
      </c>
      <c r="M270" s="37">
        <f>+I270/K270*60</f>
        <v>49.599999999999909</v>
      </c>
      <c r="N270" s="37">
        <f>+J270/K270*60</f>
        <v>49.599999999999909</v>
      </c>
      <c r="O270" s="37">
        <f>+N270+M270</f>
        <v>99.199999999999818</v>
      </c>
      <c r="P270" s="37">
        <f>+(I270+J270)/(O270/60)</f>
        <v>30</v>
      </c>
      <c r="Q270" s="38">
        <f>+Q268</f>
        <v>0.15</v>
      </c>
      <c r="R270" s="37">
        <f>+P270-(P270*Q270)</f>
        <v>25.5</v>
      </c>
      <c r="S270" s="39">
        <f>+(I270+J270)/R270</f>
        <v>1.9450980392156827</v>
      </c>
      <c r="T270" s="36">
        <f>+(2*($C$5-$C$6)/(S270*60+$C$8))*$C$9/100</f>
        <v>16.48564523924604</v>
      </c>
      <c r="U270" s="36">
        <f>+T270/2</f>
        <v>8.2428226196230199</v>
      </c>
      <c r="V270" s="36">
        <f>+V268</f>
        <v>2</v>
      </c>
      <c r="W270" s="40">
        <f>+U270-V270</f>
        <v>6.2428226196230199</v>
      </c>
      <c r="X270" s="34"/>
    </row>
    <row r="271" spans="1:24" ht="15.75">
      <c r="A271" s="96" t="s">
        <v>115</v>
      </c>
      <c r="B271" s="35">
        <f>B269+24.8</f>
        <v>1288.8000000000002</v>
      </c>
      <c r="C271" s="35">
        <f>B271+0.6</f>
        <v>1289.4000000000001</v>
      </c>
      <c r="D271" s="35">
        <f>((C271-B271)/2)+B271</f>
        <v>1289.1000000000001</v>
      </c>
      <c r="E271" s="32"/>
      <c r="F271" s="42">
        <f>+(C271-B271)*1000</f>
        <v>599.99999999990905</v>
      </c>
      <c r="G271" s="35">
        <f>+B271+([4]Premissas!$C$109/1000+[4]Premissas!$C$110/1000/2)</f>
        <v>1288.9056700000001</v>
      </c>
      <c r="H271" s="35">
        <f>+C271-([4]Premissas!$C$109/1000+[4]Premissas!$C$110/1000/2)</f>
        <v>1289.2943300000002</v>
      </c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</row>
    <row r="272" spans="1:24" ht="15.75">
      <c r="A272" s="96"/>
      <c r="B272" s="35"/>
      <c r="C272" s="35"/>
      <c r="D272" s="35"/>
      <c r="E272" s="32">
        <f>+B273-B271</f>
        <v>15.900000000000091</v>
      </c>
      <c r="F272" s="42"/>
      <c r="G272" s="35"/>
      <c r="H272" s="35"/>
      <c r="I272" s="35">
        <f>G273-G271</f>
        <v>15.900000000000091</v>
      </c>
      <c r="J272" s="35">
        <f>H273-H271</f>
        <v>15.900000000000091</v>
      </c>
      <c r="K272" s="36">
        <v>30</v>
      </c>
      <c r="L272" s="36">
        <f>(E272/K272)*60</f>
        <v>31.800000000000182</v>
      </c>
      <c r="M272" s="37">
        <f>+I272/K272*60</f>
        <v>31.800000000000182</v>
      </c>
      <c r="N272" s="37">
        <f>+J272/K272*60</f>
        <v>31.800000000000182</v>
      </c>
      <c r="O272" s="37">
        <f>+N272+M272</f>
        <v>63.600000000000364</v>
      </c>
      <c r="P272" s="37">
        <f>+(I272+J272)/(O272/60)</f>
        <v>30</v>
      </c>
      <c r="Q272" s="38">
        <f>+Q270</f>
        <v>0.15</v>
      </c>
      <c r="R272" s="37">
        <f>+P272-(P272*Q272)</f>
        <v>25.5</v>
      </c>
      <c r="S272" s="39">
        <f>+(I272+J272)/R272</f>
        <v>1.2470588235294189</v>
      </c>
      <c r="T272" s="36">
        <f>+(2*($C$5-$C$6)/(S272*60+$C$8))*$C$9/100</f>
        <v>25.135445836403697</v>
      </c>
      <c r="U272" s="36">
        <f>+T272/2</f>
        <v>12.567722918201849</v>
      </c>
      <c r="V272" s="36">
        <f>+V270</f>
        <v>2</v>
      </c>
      <c r="W272" s="40">
        <f>+U272-V272</f>
        <v>10.567722918201849</v>
      </c>
      <c r="X272" s="34"/>
    </row>
    <row r="273" spans="1:24" ht="15.75">
      <c r="A273" s="96" t="s">
        <v>116</v>
      </c>
      <c r="B273" s="35">
        <f>B271+15.9</f>
        <v>1304.7000000000003</v>
      </c>
      <c r="C273" s="35">
        <f>B273+0.6</f>
        <v>1305.3000000000002</v>
      </c>
      <c r="D273" s="35">
        <f>((C273-B273)/2)+B273</f>
        <v>1305.0000000000002</v>
      </c>
      <c r="E273" s="32"/>
      <c r="F273" s="42">
        <f>+(C273-B273)*1000</f>
        <v>599.99999999990905</v>
      </c>
      <c r="G273" s="35">
        <f>+B273+([4]Premissas!$C$109/1000+[4]Premissas!$C$110/1000/2)</f>
        <v>1304.8056700000002</v>
      </c>
      <c r="H273" s="35">
        <f>+C273-([4]Premissas!$C$109/1000+[4]Premissas!$C$110/1000/2)</f>
        <v>1305.1943300000003</v>
      </c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</row>
    <row r="274" spans="1:24" ht="15.75">
      <c r="A274" s="96"/>
      <c r="B274" s="35"/>
      <c r="C274" s="35"/>
      <c r="D274" s="35"/>
      <c r="E274" s="32">
        <f>+B275-B273</f>
        <v>11.200000000000045</v>
      </c>
      <c r="F274" s="42"/>
      <c r="G274" s="34"/>
      <c r="H274" s="34"/>
      <c r="I274" s="35">
        <f>G275-G273</f>
        <v>11.200000000000045</v>
      </c>
      <c r="J274" s="35">
        <f>H275-H273</f>
        <v>11.200000000000045</v>
      </c>
      <c r="K274" s="36">
        <v>30</v>
      </c>
      <c r="L274" s="36">
        <f>(E274/K274)*60</f>
        <v>22.400000000000091</v>
      </c>
      <c r="M274" s="37">
        <f>+I274/K274*60</f>
        <v>22.400000000000091</v>
      </c>
      <c r="N274" s="37">
        <f>+J274/K274*60</f>
        <v>22.400000000000091</v>
      </c>
      <c r="O274" s="37">
        <f>+N274+M274</f>
        <v>44.800000000000182</v>
      </c>
      <c r="P274" s="37">
        <f>+(I274+J274)/(O274/60)</f>
        <v>30</v>
      </c>
      <c r="Q274" s="38">
        <f>+Q272</f>
        <v>0.15</v>
      </c>
      <c r="R274" s="37">
        <f>+P274-(P274*Q274)</f>
        <v>25.5</v>
      </c>
      <c r="S274" s="39">
        <f>+(I274+J274)/R274</f>
        <v>0.87843137254902315</v>
      </c>
      <c r="T274" s="36">
        <f>+(2*($C$5-$C$6)/(S274*60+$C$8))*$C$9/100</f>
        <v>34.769418960244522</v>
      </c>
      <c r="U274" s="36">
        <f>+T274/2</f>
        <v>17.384709480122261</v>
      </c>
      <c r="V274" s="36">
        <f>+V272</f>
        <v>2</v>
      </c>
      <c r="W274" s="40">
        <f>+U274-V274</f>
        <v>15.384709480122261</v>
      </c>
      <c r="X274" s="34"/>
    </row>
    <row r="275" spans="1:24" ht="15.75">
      <c r="A275" s="96" t="s">
        <v>117</v>
      </c>
      <c r="B275" s="35">
        <f>B273+11.2</f>
        <v>1315.9000000000003</v>
      </c>
      <c r="C275" s="35">
        <f>B275+0.6</f>
        <v>1316.5000000000002</v>
      </c>
      <c r="D275" s="35">
        <f>((C275-B275)/2)+B275</f>
        <v>1316.2000000000003</v>
      </c>
      <c r="E275" s="32"/>
      <c r="F275" s="42">
        <f>+(C275-B275)*1000</f>
        <v>599.99999999990905</v>
      </c>
      <c r="G275" s="35">
        <f>+B275+([4]Premissas!$C$109/1000+[4]Premissas!$C$110/1000/2)</f>
        <v>1316.0056700000002</v>
      </c>
      <c r="H275" s="35">
        <f>+C275-([4]Premissas!$C$109/1000+[4]Premissas!$C$110/1000/2)</f>
        <v>1316.3943300000003</v>
      </c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34"/>
      <c r="V275" s="34"/>
      <c r="W275" s="34"/>
      <c r="X275" s="34"/>
    </row>
    <row r="276" spans="1:24" ht="15.75">
      <c r="A276" s="96"/>
      <c r="B276" s="35"/>
      <c r="C276" s="35"/>
      <c r="D276" s="35"/>
      <c r="E276" s="32">
        <f>+B277-B275</f>
        <v>10.099999999999909</v>
      </c>
      <c r="F276" s="42"/>
      <c r="G276" s="35"/>
      <c r="H276" s="35"/>
      <c r="I276" s="35">
        <f>G277-G275</f>
        <v>10.099999999999909</v>
      </c>
      <c r="J276" s="35">
        <f>H277-H275</f>
        <v>10.099999999999909</v>
      </c>
      <c r="K276" s="36">
        <v>30</v>
      </c>
      <c r="L276" s="36">
        <f>(E276/K276)*60</f>
        <v>20.199999999999818</v>
      </c>
      <c r="M276" s="37">
        <f>+I276/K276*60</f>
        <v>20.199999999999818</v>
      </c>
      <c r="N276" s="37">
        <f>+J276/K276*60</f>
        <v>20.199999999999818</v>
      </c>
      <c r="O276" s="37">
        <f>+N276+M276</f>
        <v>40.399999999999636</v>
      </c>
      <c r="P276" s="37">
        <f>+(I276+J276)/(O276/60)</f>
        <v>30</v>
      </c>
      <c r="Q276" s="38">
        <f>+Q274</f>
        <v>0.15</v>
      </c>
      <c r="R276" s="37">
        <f>+P276-(P276*Q276)</f>
        <v>25.5</v>
      </c>
      <c r="S276" s="39">
        <f>+(I276+J276)/R276</f>
        <v>0.7921568627450909</v>
      </c>
      <c r="T276" s="36">
        <f>+(2*($C$5-$C$6)/(S276*60+$C$8))*$C$9/100</f>
        <v>38.195744680851377</v>
      </c>
      <c r="U276" s="36">
        <f>+T276/2</f>
        <v>19.097872340425688</v>
      </c>
      <c r="V276" s="36">
        <f>+V274</f>
        <v>2</v>
      </c>
      <c r="W276" s="40">
        <f>+U276-V276</f>
        <v>17.097872340425688</v>
      </c>
      <c r="X276" s="34"/>
    </row>
    <row r="277" spans="1:24" ht="15.75">
      <c r="A277" s="96" t="s">
        <v>118</v>
      </c>
      <c r="B277" s="35">
        <f>B275+10.1</f>
        <v>1326.0000000000002</v>
      </c>
      <c r="C277" s="35">
        <f>B277+0.6</f>
        <v>1326.6000000000001</v>
      </c>
      <c r="D277" s="35">
        <f>((C277-B277)/2)+B277</f>
        <v>1326.3000000000002</v>
      </c>
      <c r="E277" s="32"/>
      <c r="F277" s="42">
        <f>+(C277-B277)*1000</f>
        <v>599.99999999990905</v>
      </c>
      <c r="G277" s="35">
        <f>+B277+([4]Premissas!$C$109/1000+[4]Premissas!$C$110/1000/2)</f>
        <v>1326.1056700000001</v>
      </c>
      <c r="H277" s="35">
        <f>+C277-([4]Premissas!$C$109/1000+[4]Premissas!$C$110/1000/2)</f>
        <v>1326.4943300000002</v>
      </c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</row>
    <row r="278" spans="1:24" ht="15.75">
      <c r="A278" s="96"/>
      <c r="B278" s="35"/>
      <c r="C278" s="35"/>
      <c r="D278" s="35"/>
      <c r="E278" s="32">
        <f>+B279-B277</f>
        <v>19</v>
      </c>
      <c r="F278" s="42"/>
      <c r="G278" s="34"/>
      <c r="H278" s="34"/>
      <c r="I278" s="35">
        <f>G279-G277</f>
        <v>19</v>
      </c>
      <c r="J278" s="35">
        <f>H279-H277</f>
        <v>19</v>
      </c>
      <c r="K278" s="36">
        <v>30</v>
      </c>
      <c r="L278" s="36">
        <f>(E278/K278)*60</f>
        <v>38</v>
      </c>
      <c r="M278" s="37">
        <f>+I278/K278*60</f>
        <v>38</v>
      </c>
      <c r="N278" s="37">
        <f>+J278/K278*60</f>
        <v>38</v>
      </c>
      <c r="O278" s="37">
        <f>+N278+M278</f>
        <v>76</v>
      </c>
      <c r="P278" s="37">
        <f>+(I278+J278)/(O278/60)</f>
        <v>30</v>
      </c>
      <c r="Q278" s="38">
        <f>+Q276</f>
        <v>0.15</v>
      </c>
      <c r="R278" s="37">
        <f>+P278-(P278*Q278)</f>
        <v>25.5</v>
      </c>
      <c r="S278" s="39">
        <f>+(I278+J278)/R278</f>
        <v>1.4901960784313726</v>
      </c>
      <c r="T278" s="36">
        <f>+(2*($C$5-$C$6)/(S278*60+$C$8))*$C$9/100</f>
        <v>21.251588785046728</v>
      </c>
      <c r="U278" s="36">
        <f>+T278/2</f>
        <v>10.625794392523364</v>
      </c>
      <c r="V278" s="36">
        <f>+V276</f>
        <v>2</v>
      </c>
      <c r="W278" s="40">
        <f>+U278-V278</f>
        <v>8.625794392523364</v>
      </c>
      <c r="X278" s="34"/>
    </row>
    <row r="279" spans="1:24" ht="15.75">
      <c r="A279" s="96" t="s">
        <v>119</v>
      </c>
      <c r="B279" s="35">
        <f>B277+19</f>
        <v>1345.0000000000002</v>
      </c>
      <c r="C279" s="35">
        <f>B279+0.6</f>
        <v>1345.6000000000001</v>
      </c>
      <c r="D279" s="35">
        <f>((C279-B279)/2)+B279</f>
        <v>1345.3000000000002</v>
      </c>
      <c r="E279" s="32"/>
      <c r="F279" s="42">
        <f>+(C279-B279)*1000</f>
        <v>599.99999999990905</v>
      </c>
      <c r="G279" s="35">
        <f>+B279+([4]Premissas!$C$109/1000+[4]Premissas!$C$110/1000/2)</f>
        <v>1345.1056700000001</v>
      </c>
      <c r="H279" s="35">
        <f>+C279-([4]Premissas!$C$109/1000+[4]Premissas!$C$110/1000/2)</f>
        <v>1345.4943300000002</v>
      </c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</row>
    <row r="280" spans="1:24" ht="15.75">
      <c r="A280" s="96"/>
      <c r="B280" s="35"/>
      <c r="C280" s="35"/>
      <c r="D280" s="35"/>
      <c r="E280" s="32">
        <f>+B281-B279</f>
        <v>20.5</v>
      </c>
      <c r="F280" s="42"/>
      <c r="G280" s="34"/>
      <c r="H280" s="34"/>
      <c r="I280" s="35">
        <f>+G281-G279</f>
        <v>20.5</v>
      </c>
      <c r="J280" s="35">
        <f>+H281-H279</f>
        <v>20.5</v>
      </c>
      <c r="K280" s="36">
        <v>30</v>
      </c>
      <c r="L280" s="36">
        <f>(E280/K280)*60</f>
        <v>41</v>
      </c>
      <c r="M280" s="37">
        <f>+I280/K280*60</f>
        <v>41</v>
      </c>
      <c r="N280" s="37">
        <f>+J280/K280*60</f>
        <v>41</v>
      </c>
      <c r="O280" s="37">
        <f>+N280+M280</f>
        <v>82</v>
      </c>
      <c r="P280" s="37">
        <f>+(I280+J280)/(O280/60)</f>
        <v>30</v>
      </c>
      <c r="Q280" s="38">
        <f>+Q276</f>
        <v>0.15</v>
      </c>
      <c r="R280" s="37">
        <f>+P280-(P280*Q280)</f>
        <v>25.5</v>
      </c>
      <c r="S280" s="39">
        <f>+(I280+J280)/R280</f>
        <v>1.607843137254902</v>
      </c>
      <c r="T280" s="36">
        <f>+(2*($C$5-$C$6)/(S280*60+$C$8))*$C$9/100</f>
        <v>19.773217391304346</v>
      </c>
      <c r="U280" s="36">
        <f>+T280/2</f>
        <v>9.886608695652173</v>
      </c>
      <c r="V280" s="36">
        <f>+V276</f>
        <v>2</v>
      </c>
      <c r="W280" s="40">
        <f>+U280-V280</f>
        <v>7.886608695652173</v>
      </c>
      <c r="X280" s="34"/>
    </row>
    <row r="281" spans="1:24" ht="15.75">
      <c r="A281" s="96" t="s">
        <v>120</v>
      </c>
      <c r="B281" s="35">
        <f>B279+20.5</f>
        <v>1365.5000000000002</v>
      </c>
      <c r="C281" s="35">
        <f>B281+0.6</f>
        <v>1366.1000000000001</v>
      </c>
      <c r="D281" s="35">
        <f>((C281-B281)/2)+B281</f>
        <v>1365.8000000000002</v>
      </c>
      <c r="E281" s="32"/>
      <c r="F281" s="42">
        <f>+(C281-B281)*1000</f>
        <v>599.99999999990905</v>
      </c>
      <c r="G281" s="35">
        <f>+B281+([4]Premissas!$C$109/1000+[4]Premissas!$C$110/1000/2)</f>
        <v>1365.6056700000001</v>
      </c>
      <c r="H281" s="35">
        <f>+C281-([4]Premissas!$C$109/1000+[4]Premissas!$C$110/1000/2)</f>
        <v>1365.9943300000002</v>
      </c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</row>
    <row r="282" spans="1:24" ht="15.75">
      <c r="A282" s="96"/>
      <c r="B282" s="35"/>
      <c r="C282" s="35"/>
      <c r="D282" s="35"/>
      <c r="E282" s="32">
        <f>+B283-B281</f>
        <v>25.900000000000091</v>
      </c>
      <c r="F282" s="42"/>
      <c r="G282" s="35"/>
      <c r="H282" s="35"/>
      <c r="I282" s="35">
        <f>+G283-G281</f>
        <v>25.900000000000091</v>
      </c>
      <c r="J282" s="35">
        <f>+H283-H281</f>
        <v>25.900000000000091</v>
      </c>
      <c r="K282" s="36">
        <v>30</v>
      </c>
      <c r="L282" s="36">
        <f>(E282/K282)*60</f>
        <v>51.800000000000182</v>
      </c>
      <c r="M282" s="37">
        <f>+I282/K282*60</f>
        <v>51.800000000000182</v>
      </c>
      <c r="N282" s="37">
        <f>+J282/K282*60</f>
        <v>51.800000000000182</v>
      </c>
      <c r="O282" s="37">
        <f>+N282+M282</f>
        <v>103.60000000000036</v>
      </c>
      <c r="P282" s="37">
        <f>+(I282+J282)/(O282/60)</f>
        <v>30</v>
      </c>
      <c r="Q282" s="38">
        <f>+Q278</f>
        <v>0.15</v>
      </c>
      <c r="R282" s="37">
        <f>+P282-(P282*Q282)</f>
        <v>25.5</v>
      </c>
      <c r="S282" s="39">
        <f>+(I282+J282)/R282</f>
        <v>2.0313725490196148</v>
      </c>
      <c r="T282" s="36">
        <f>+(2*($C$5-$C$6)/(S282*60+$C$8))*$C$9/100</f>
        <v>15.813073713490905</v>
      </c>
      <c r="U282" s="36">
        <f>+T282/2</f>
        <v>7.9065368567454524</v>
      </c>
      <c r="V282" s="36">
        <f>+V278</f>
        <v>2</v>
      </c>
      <c r="W282" s="40">
        <f>+U282-V282</f>
        <v>5.9065368567454524</v>
      </c>
      <c r="X282" s="34"/>
    </row>
    <row r="283" spans="1:24" ht="15.75">
      <c r="A283" s="96" t="s">
        <v>121</v>
      </c>
      <c r="B283" s="35">
        <f>+B281+25.9</f>
        <v>1391.4000000000003</v>
      </c>
      <c r="C283" s="35">
        <f>B283+0.6</f>
        <v>1392.0000000000002</v>
      </c>
      <c r="D283" s="35">
        <f>((C283-B283)/2)+B283</f>
        <v>1391.7000000000003</v>
      </c>
      <c r="E283" s="32"/>
      <c r="F283" s="42">
        <f>+(C283-B283)*1000</f>
        <v>599.99999999990905</v>
      </c>
      <c r="G283" s="35">
        <f>+B283+([4]Premissas!$C$109/1000+[4]Premissas!$C$110/1000/2)</f>
        <v>1391.5056700000002</v>
      </c>
      <c r="H283" s="35">
        <f>+C283-([4]Premissas!$C$109/1000+[4]Premissas!$C$110/1000/2)</f>
        <v>1391.8943300000003</v>
      </c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  <c r="W283" s="34"/>
      <c r="X283" s="34"/>
    </row>
    <row r="284" spans="1:24" ht="15.75">
      <c r="A284" s="96"/>
      <c r="B284" s="35"/>
      <c r="C284" s="35"/>
      <c r="D284" s="35"/>
      <c r="E284" s="32">
        <f>+B285-B283</f>
        <v>30.799999999999955</v>
      </c>
      <c r="F284" s="42"/>
      <c r="G284" s="34"/>
      <c r="H284" s="34"/>
      <c r="I284" s="35">
        <f>+G285-G283</f>
        <v>30.799999999999955</v>
      </c>
      <c r="J284" s="35">
        <f>+H285-H283</f>
        <v>30.799999999999955</v>
      </c>
      <c r="K284" s="36">
        <v>35</v>
      </c>
      <c r="L284" s="36">
        <f>(E284/K284)*60</f>
        <v>52.799999999999919</v>
      </c>
      <c r="M284" s="37">
        <f>+I284/K284*60</f>
        <v>52.799999999999919</v>
      </c>
      <c r="N284" s="37">
        <f>+J284/K284*60</f>
        <v>52.799999999999919</v>
      </c>
      <c r="O284" s="37">
        <f>+N284+M284</f>
        <v>105.59999999999984</v>
      </c>
      <c r="P284" s="37">
        <f>+(I284+J284)/(O284/60)</f>
        <v>35</v>
      </c>
      <c r="Q284" s="38">
        <f>+Q282</f>
        <v>0.15</v>
      </c>
      <c r="R284" s="37">
        <f>+P284-(P284*Q284)</f>
        <v>29.75</v>
      </c>
      <c r="S284" s="39">
        <f>+(I284+J284)/R284</f>
        <v>2.0705882352941147</v>
      </c>
      <c r="T284" s="36">
        <f>+(2*($C$5-$C$6)/(S284*60+$C$8))*$C$9/100</f>
        <v>15.525170687300884</v>
      </c>
      <c r="U284" s="36">
        <f>+T284/2</f>
        <v>7.7625853436504419</v>
      </c>
      <c r="V284" s="36">
        <f>+V282-1</f>
        <v>1</v>
      </c>
      <c r="W284" s="40">
        <f>+U284-V284</f>
        <v>6.7625853436504419</v>
      </c>
      <c r="X284" s="34"/>
    </row>
    <row r="285" spans="1:24" ht="15.75">
      <c r="A285" s="96" t="s">
        <v>122</v>
      </c>
      <c r="B285" s="35">
        <f>B283+30.8</f>
        <v>1422.2000000000003</v>
      </c>
      <c r="C285" s="35">
        <f>B285+0.6</f>
        <v>1422.8000000000002</v>
      </c>
      <c r="D285" s="35">
        <f>((C285-B285)/2)+B285</f>
        <v>1422.5000000000002</v>
      </c>
      <c r="E285" s="32"/>
      <c r="F285" s="42">
        <f>+(C285-B285)*1000</f>
        <v>599.99999999990905</v>
      </c>
      <c r="G285" s="35">
        <f>+B285+([4]Premissas!$C$109/1000+[4]Premissas!$C$110/1000/2)</f>
        <v>1422.3056700000002</v>
      </c>
      <c r="H285" s="35">
        <f>+C285-([4]Premissas!$C$109/1000+[4]Premissas!$C$110/1000/2)</f>
        <v>1422.6943300000003</v>
      </c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</row>
    <row r="286" spans="1:24" ht="15.75">
      <c r="A286" s="96"/>
      <c r="B286" s="35"/>
      <c r="C286" s="35"/>
      <c r="D286" s="35"/>
      <c r="E286" s="32">
        <f>+B287-B285</f>
        <v>18.700000000000045</v>
      </c>
      <c r="F286" s="42"/>
      <c r="G286" s="35"/>
      <c r="H286" s="35"/>
      <c r="I286" s="35">
        <f>+G287-G285</f>
        <v>18.700000000000045</v>
      </c>
      <c r="J286" s="35">
        <f>+H287-H285</f>
        <v>18.700000000000045</v>
      </c>
      <c r="K286" s="36">
        <v>35</v>
      </c>
      <c r="L286" s="36">
        <f>(E286/K286)*60</f>
        <v>32.057142857142935</v>
      </c>
      <c r="M286" s="37">
        <f>+I286/K286*60</f>
        <v>32.057142857142935</v>
      </c>
      <c r="N286" s="37">
        <f>+J286/K286*60</f>
        <v>32.057142857142935</v>
      </c>
      <c r="O286" s="37">
        <f>+N286+M286</f>
        <v>64.11428571428587</v>
      </c>
      <c r="P286" s="37">
        <f>+(I286+J286)/(O286/60)</f>
        <v>35</v>
      </c>
      <c r="Q286" s="38">
        <f>+Q284</f>
        <v>0.15</v>
      </c>
      <c r="R286" s="37">
        <f>+P286-(P286*Q286)</f>
        <v>29.75</v>
      </c>
      <c r="S286" s="39">
        <f>+(I286+J286)/R286</f>
        <v>1.2571428571428602</v>
      </c>
      <c r="T286" s="36">
        <f>+(2*($C$5-$C$6)/(S286*60+$C$8))*$C$9/100</f>
        <v>24.946358792184668</v>
      </c>
      <c r="U286" s="36">
        <f>+T286/2</f>
        <v>12.473179396092334</v>
      </c>
      <c r="V286" s="36">
        <f>+V284</f>
        <v>1</v>
      </c>
      <c r="W286" s="40">
        <f>+U286-V286</f>
        <v>11.473179396092334</v>
      </c>
      <c r="X286" s="34"/>
    </row>
    <row r="287" spans="1:24" ht="15.75">
      <c r="A287" s="96" t="s">
        <v>123</v>
      </c>
      <c r="B287" s="35">
        <f>B285+18.7</f>
        <v>1440.9000000000003</v>
      </c>
      <c r="C287" s="35">
        <f>B287+0.6</f>
        <v>1441.5000000000002</v>
      </c>
      <c r="D287" s="35">
        <f>((C287-B287)/2)+B287</f>
        <v>1441.2000000000003</v>
      </c>
      <c r="E287" s="32"/>
      <c r="F287" s="42">
        <f>+(C287-B287)*1000</f>
        <v>599.99999999990905</v>
      </c>
      <c r="G287" s="35">
        <f>+B287+([4]Premissas!$C$109/1000+[4]Premissas!$C$110/1000/2)</f>
        <v>1441.0056700000002</v>
      </c>
      <c r="H287" s="35">
        <f>+C287-([4]Premissas!$C$109/1000+[4]Premissas!$C$110/1000/2)</f>
        <v>1441.3943300000003</v>
      </c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  <c r="V287" s="34"/>
      <c r="W287" s="34"/>
      <c r="X287" s="34"/>
    </row>
    <row r="288" spans="1:24" ht="15.75">
      <c r="A288" s="96"/>
      <c r="B288" s="35"/>
      <c r="C288" s="35"/>
      <c r="D288" s="35"/>
      <c r="E288" s="32">
        <f>+B289-B287</f>
        <v>36</v>
      </c>
      <c r="F288" s="42"/>
      <c r="G288" s="34"/>
      <c r="H288" s="34"/>
      <c r="I288" s="35">
        <f>+G289-G287</f>
        <v>36</v>
      </c>
      <c r="J288" s="35">
        <f>+H289-H287</f>
        <v>36</v>
      </c>
      <c r="K288" s="36">
        <v>35</v>
      </c>
      <c r="L288" s="36">
        <f>(E288/K288)*60</f>
        <v>61.714285714285708</v>
      </c>
      <c r="M288" s="37">
        <f>+I288/K288*60</f>
        <v>61.714285714285708</v>
      </c>
      <c r="N288" s="37">
        <f>+J288/K288*60</f>
        <v>61.714285714285708</v>
      </c>
      <c r="O288" s="37">
        <f>+N288+M288</f>
        <v>123.42857142857142</v>
      </c>
      <c r="P288" s="37">
        <f>+(I288+J288)/(O288/60)</f>
        <v>35</v>
      </c>
      <c r="Q288" s="38">
        <f>+Q286</f>
        <v>0.15</v>
      </c>
      <c r="R288" s="37">
        <f>+P288-(P288*Q288)</f>
        <v>29.75</v>
      </c>
      <c r="S288" s="39">
        <f>+(I288+J288)/R288</f>
        <v>2.4201680672268906</v>
      </c>
      <c r="T288" s="36">
        <f>+(2*($C$5-$C$6)/(S288*60+$C$8))*$C$9/100</f>
        <v>13.35729230769231</v>
      </c>
      <c r="U288" s="36">
        <f>+T288/2</f>
        <v>6.678646153846155</v>
      </c>
      <c r="V288" s="36">
        <f>+V286</f>
        <v>1</v>
      </c>
      <c r="W288" s="40">
        <f>+U288-V288</f>
        <v>5.678646153846155</v>
      </c>
      <c r="X288" s="34"/>
    </row>
    <row r="289" spans="1:24" ht="15.75">
      <c r="A289" s="96" t="s">
        <v>124</v>
      </c>
      <c r="B289" s="35">
        <f>+B287+36</f>
        <v>1476.9000000000003</v>
      </c>
      <c r="C289" s="35">
        <f>B289+0.6</f>
        <v>1477.5000000000002</v>
      </c>
      <c r="D289" s="35">
        <f>((C289-B289)/2)+B289</f>
        <v>1477.2000000000003</v>
      </c>
      <c r="E289" s="32"/>
      <c r="F289" s="42">
        <f>+(C289-B289)*1000</f>
        <v>599.99999999990905</v>
      </c>
      <c r="G289" s="35">
        <f>+B289+([4]Premissas!$C$109/1000+[4]Premissas!$C$110/1000/2)</f>
        <v>1477.0056700000002</v>
      </c>
      <c r="H289" s="35">
        <f>+C289-([4]Premissas!$C$109/1000+[4]Premissas!$C$110/1000/2)</f>
        <v>1477.3943300000003</v>
      </c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  <c r="W289" s="34"/>
      <c r="X289" s="34"/>
    </row>
    <row r="290" spans="1:24" ht="15.75">
      <c r="A290" s="96"/>
      <c r="B290" s="35"/>
      <c r="C290" s="35"/>
      <c r="D290" s="35"/>
      <c r="E290" s="32">
        <f>+B291-B289</f>
        <v>20.099999999999909</v>
      </c>
      <c r="F290" s="42"/>
      <c r="G290" s="34"/>
      <c r="H290" s="34"/>
      <c r="I290" s="35">
        <f>+G291-G289</f>
        <v>20.099999999999909</v>
      </c>
      <c r="J290" s="35">
        <f>+H291-H289</f>
        <v>20.099999999999909</v>
      </c>
      <c r="K290" s="36">
        <v>35</v>
      </c>
      <c r="L290" s="36">
        <f>(E290/K290)*60</f>
        <v>34.457142857142706</v>
      </c>
      <c r="M290" s="37">
        <f>+I290/K290*60</f>
        <v>34.457142857142706</v>
      </c>
      <c r="N290" s="37">
        <f>+J290/K290*60</f>
        <v>34.457142857142706</v>
      </c>
      <c r="O290" s="37">
        <f>+N290+M290</f>
        <v>68.914285714285413</v>
      </c>
      <c r="P290" s="37">
        <f>+(I290+J290)/(O290/60)</f>
        <v>35</v>
      </c>
      <c r="Q290" s="38">
        <f>+Q288</f>
        <v>0.15</v>
      </c>
      <c r="R290" s="37">
        <f>+P290-(P290*Q290)</f>
        <v>29.75</v>
      </c>
      <c r="S290" s="39">
        <f>+(I290+J290)/R290</f>
        <v>1.3512605042016745</v>
      </c>
      <c r="T290" s="36">
        <f>+(2*($C$5-$C$6)/(S290*60+$C$8))*$C$9/100</f>
        <v>23.309733476520652</v>
      </c>
      <c r="U290" s="36">
        <f>+T290/2</f>
        <v>11.654866738260326</v>
      </c>
      <c r="V290" s="36">
        <f>+V288</f>
        <v>1</v>
      </c>
      <c r="W290" s="40">
        <f>+U290-V290</f>
        <v>10.654866738260326</v>
      </c>
      <c r="X290" s="34"/>
    </row>
    <row r="291" spans="1:24" ht="15.75">
      <c r="A291" s="96" t="s">
        <v>125</v>
      </c>
      <c r="B291" s="35">
        <f>B289+20.1</f>
        <v>1497.0000000000002</v>
      </c>
      <c r="C291" s="35">
        <f>B291+0.6</f>
        <v>1497.6000000000001</v>
      </c>
      <c r="D291" s="35">
        <f>((C291-B291)/2)+B291</f>
        <v>1497.3000000000002</v>
      </c>
      <c r="E291" s="32"/>
      <c r="F291" s="42">
        <f>+(C291-B291)*1000</f>
        <v>599.99999999990905</v>
      </c>
      <c r="G291" s="35">
        <f>+B291+([4]Premissas!$C$109/1000+[4]Premissas!$C$110/1000/2)</f>
        <v>1497.1056700000001</v>
      </c>
      <c r="H291" s="35">
        <f>+C291-([4]Premissas!$C$109/1000+[4]Premissas!$C$110/1000/2)</f>
        <v>1497.4943300000002</v>
      </c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  <c r="V291" s="34"/>
      <c r="W291" s="34"/>
      <c r="X291" s="34"/>
    </row>
    <row r="292" spans="1:24" ht="15.75">
      <c r="A292" s="96"/>
      <c r="B292" s="35"/>
      <c r="C292" s="35"/>
      <c r="D292" s="35"/>
      <c r="E292" s="32">
        <f>+B293-B291</f>
        <v>30.900000000000091</v>
      </c>
      <c r="F292" s="42"/>
      <c r="G292" s="35"/>
      <c r="H292" s="35"/>
      <c r="I292" s="35">
        <f>+G293-G291</f>
        <v>30.900000000000091</v>
      </c>
      <c r="J292" s="35">
        <f>+H293-H291</f>
        <v>30.900000000000091</v>
      </c>
      <c r="K292" s="36">
        <v>35</v>
      </c>
      <c r="L292" s="36">
        <f>(E292/K292)*60</f>
        <v>52.971428571428724</v>
      </c>
      <c r="M292" s="37">
        <f>+I292/K292*60</f>
        <v>52.971428571428724</v>
      </c>
      <c r="N292" s="37">
        <f>+J292/K292*60</f>
        <v>52.971428571428724</v>
      </c>
      <c r="O292" s="37">
        <f>+N292+M292</f>
        <v>105.94285714285745</v>
      </c>
      <c r="P292" s="37">
        <f>+(I292+J292)/(O292/60)</f>
        <v>35</v>
      </c>
      <c r="Q292" s="38">
        <f>+Q288</f>
        <v>0.15</v>
      </c>
      <c r="R292" s="37">
        <f>+P292-(P292*Q292)</f>
        <v>29.75</v>
      </c>
      <c r="S292" s="39">
        <f>+(I292+J292)/R292</f>
        <v>2.0773109243697538</v>
      </c>
      <c r="T292" s="36">
        <f>+(2*($C$5-$C$6)/(S292*60+$C$8))*$C$9/100</f>
        <v>15.476865236274023</v>
      </c>
      <c r="U292" s="36">
        <f>+T292/2</f>
        <v>7.7384326181370113</v>
      </c>
      <c r="V292" s="36">
        <f>+V288</f>
        <v>1</v>
      </c>
      <c r="W292" s="40">
        <f>+U292-V292</f>
        <v>6.7384326181370113</v>
      </c>
      <c r="X292" s="34"/>
    </row>
    <row r="293" spans="1:24" ht="15.75">
      <c r="A293" s="96" t="s">
        <v>126</v>
      </c>
      <c r="B293" s="35">
        <f>B291+30.9</f>
        <v>1527.9000000000003</v>
      </c>
      <c r="C293" s="35">
        <f>B293+0.6</f>
        <v>1528.5000000000002</v>
      </c>
      <c r="D293" s="35">
        <f>((C293-B293)/2)+B293</f>
        <v>1528.2000000000003</v>
      </c>
      <c r="E293" s="32"/>
      <c r="F293" s="42">
        <f>+(C293-B293)*1000</f>
        <v>599.99999999990905</v>
      </c>
      <c r="G293" s="35">
        <f>+B293+([4]Premissas!$C$109/1000+[4]Premissas!$C$110/1000/2)</f>
        <v>1528.0056700000002</v>
      </c>
      <c r="H293" s="35">
        <f>+C293-([4]Premissas!$C$109/1000+[4]Premissas!$C$110/1000/2)</f>
        <v>1528.3943300000003</v>
      </c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  <c r="V293" s="34"/>
      <c r="W293" s="34"/>
      <c r="X293" s="34"/>
    </row>
    <row r="294" spans="1:24" ht="15.75">
      <c r="A294" s="96"/>
      <c r="B294" s="35"/>
      <c r="C294" s="35"/>
      <c r="D294" s="35"/>
      <c r="E294" s="32">
        <f>+B295-B293</f>
        <v>33.200000000000045</v>
      </c>
      <c r="F294" s="42"/>
      <c r="G294" s="34"/>
      <c r="H294" s="34"/>
      <c r="I294" s="35">
        <f>+G295-G293</f>
        <v>33.200000000000045</v>
      </c>
      <c r="J294" s="35">
        <f>+H295-H293</f>
        <v>33.200000000000045</v>
      </c>
      <c r="K294" s="36">
        <v>35</v>
      </c>
      <c r="L294" s="36">
        <f>(E294/K294)*60</f>
        <v>56.914285714285789</v>
      </c>
      <c r="M294" s="37">
        <f>+I294/K294*60</f>
        <v>56.914285714285789</v>
      </c>
      <c r="N294" s="37">
        <f>+J294/K294*60</f>
        <v>56.914285714285789</v>
      </c>
      <c r="O294" s="37">
        <f>+N294+M294</f>
        <v>113.82857142857158</v>
      </c>
      <c r="P294" s="37">
        <f>+(I294+J294)/(O294/60)</f>
        <v>35</v>
      </c>
      <c r="Q294" s="38">
        <f>+Q290</f>
        <v>0.15</v>
      </c>
      <c r="R294" s="37">
        <f>+P294-(P294*Q294)</f>
        <v>29.75</v>
      </c>
      <c r="S294" s="39">
        <f>+(I294+J294)/R294</f>
        <v>2.2319327731092469</v>
      </c>
      <c r="T294" s="36">
        <f>+(2*($C$5-$C$6)/(S294*60+$C$8))*$C$9/100</f>
        <v>14.443264170346602</v>
      </c>
      <c r="U294" s="36">
        <f>+T294/2</f>
        <v>7.2216320851733009</v>
      </c>
      <c r="V294" s="36">
        <f>+V290</f>
        <v>1</v>
      </c>
      <c r="W294" s="40">
        <f>+U294-V294</f>
        <v>6.2216320851733009</v>
      </c>
      <c r="X294" s="34"/>
    </row>
    <row r="295" spans="1:24" ht="15.75">
      <c r="A295" s="96" t="s">
        <v>127</v>
      </c>
      <c r="B295" s="35">
        <f>B293+33.2</f>
        <v>1561.1000000000004</v>
      </c>
      <c r="C295" s="35">
        <f>B295+0.6</f>
        <v>1561.7000000000003</v>
      </c>
      <c r="D295" s="35">
        <f>((C295-B295)/2)+B295</f>
        <v>1561.4000000000003</v>
      </c>
      <c r="E295" s="32"/>
      <c r="F295" s="42">
        <f>+(C295-B295)*1000</f>
        <v>599.99999999990905</v>
      </c>
      <c r="G295" s="35">
        <f>+B295+([4]Premissas!$C$109/1000+[4]Premissas!$C$110/1000/2)</f>
        <v>1561.2056700000003</v>
      </c>
      <c r="H295" s="35">
        <f>+C295-([4]Premissas!$C$109/1000+[4]Premissas!$C$110/1000/2)</f>
        <v>1561.5943300000004</v>
      </c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  <c r="V295" s="34"/>
      <c r="W295" s="34"/>
      <c r="X295" s="34"/>
    </row>
    <row r="296" spans="1:24" ht="15.75">
      <c r="A296" s="96"/>
      <c r="B296" s="35"/>
      <c r="C296" s="35"/>
      <c r="D296" s="35"/>
      <c r="E296" s="32">
        <f>+B297-B295</f>
        <v>30.400000000000091</v>
      </c>
      <c r="F296" s="42"/>
      <c r="G296" s="35"/>
      <c r="H296" s="35"/>
      <c r="I296" s="35">
        <f>+G297-G295</f>
        <v>30.400000000000091</v>
      </c>
      <c r="J296" s="35">
        <f>+H297-H295</f>
        <v>30.400000000000091</v>
      </c>
      <c r="K296" s="36">
        <v>30</v>
      </c>
      <c r="L296" s="36">
        <f>(E296/K296)*60</f>
        <v>60.800000000000182</v>
      </c>
      <c r="M296" s="37">
        <f>+I296/K296*60</f>
        <v>60.800000000000182</v>
      </c>
      <c r="N296" s="37">
        <f>+J296/K296*60</f>
        <v>60.800000000000182</v>
      </c>
      <c r="O296" s="37">
        <f>+N296+M296</f>
        <v>121.60000000000036</v>
      </c>
      <c r="P296" s="37">
        <f>+(I296+J296)/(O296/60)</f>
        <v>30</v>
      </c>
      <c r="Q296" s="38">
        <f>+Q294</f>
        <v>0.15</v>
      </c>
      <c r="R296" s="37">
        <f>+P296-(P296*Q296)</f>
        <v>25.5</v>
      </c>
      <c r="S296" s="39">
        <f>+(I296+J296)/R296</f>
        <v>2.3843137254902032</v>
      </c>
      <c r="T296" s="36">
        <f>+(2*($C$5-$C$6)/(S296*60+$C$8))*$C$9/100</f>
        <v>13.551370679380176</v>
      </c>
      <c r="U296" s="36">
        <f>+T296/2</f>
        <v>6.7756853396900878</v>
      </c>
      <c r="V296" s="36">
        <f>+V294</f>
        <v>1</v>
      </c>
      <c r="W296" s="40">
        <f>+U296-V296</f>
        <v>5.7756853396900878</v>
      </c>
      <c r="X296" s="40"/>
    </row>
    <row r="297" spans="1:24" ht="15.75">
      <c r="A297" s="96" t="s">
        <v>128</v>
      </c>
      <c r="B297" s="35">
        <f>B295+30.4</f>
        <v>1591.5000000000005</v>
      </c>
      <c r="C297" s="35">
        <f>B297+0.6</f>
        <v>1592.1000000000004</v>
      </c>
      <c r="D297" s="35">
        <f>((C297-B297)/2)+B297</f>
        <v>1591.8000000000004</v>
      </c>
      <c r="E297" s="32"/>
      <c r="F297" s="42">
        <f>+(C297-B297)*1000</f>
        <v>599.99999999990905</v>
      </c>
      <c r="G297" s="35">
        <f>+B297+([4]Premissas!$C$109/1000+[4]Premissas!$C$110/1000/2)</f>
        <v>1591.6056700000004</v>
      </c>
      <c r="H297" s="35">
        <f>+C297-([4]Premissas!$C$109/1000+[4]Premissas!$C$110/1000/2)</f>
        <v>1591.9943300000004</v>
      </c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  <c r="V297" s="34"/>
      <c r="W297" s="34"/>
      <c r="X297" s="34"/>
    </row>
    <row r="298" spans="1:24" ht="15.75">
      <c r="A298" s="96"/>
      <c r="B298" s="35"/>
      <c r="C298" s="35"/>
      <c r="D298" s="35"/>
      <c r="E298" s="32">
        <f>+B299-B297</f>
        <v>26</v>
      </c>
      <c r="F298" s="42"/>
      <c r="G298" s="34"/>
      <c r="H298" s="34"/>
      <c r="I298" s="35">
        <f>+G299-G297</f>
        <v>26</v>
      </c>
      <c r="J298" s="35">
        <f>+H299-H297</f>
        <v>26</v>
      </c>
      <c r="K298" s="36">
        <v>30</v>
      </c>
      <c r="L298" s="36">
        <f>(E298/K298)*60</f>
        <v>52</v>
      </c>
      <c r="M298" s="37">
        <f>+I298/K298*60</f>
        <v>52</v>
      </c>
      <c r="N298" s="37">
        <f>+J298/K298*60</f>
        <v>52</v>
      </c>
      <c r="O298" s="37">
        <f>+N298+M298</f>
        <v>104</v>
      </c>
      <c r="P298" s="37">
        <f>+(I298+J298)/(O298/60)</f>
        <v>30</v>
      </c>
      <c r="Q298" s="38">
        <f>+Q294</f>
        <v>0.15</v>
      </c>
      <c r="R298" s="37">
        <f>+P298-(P298*Q298)</f>
        <v>25.5</v>
      </c>
      <c r="S298" s="39">
        <f>+(I298+J298)/R298</f>
        <v>2.0392156862745097</v>
      </c>
      <c r="T298" s="36">
        <f>+(2*($C$5-$C$6)/(S298*60+$C$8))*$C$9/100</f>
        <v>15.754642032332566</v>
      </c>
      <c r="U298" s="36">
        <f>+T298/2</f>
        <v>7.8773210161662828</v>
      </c>
      <c r="V298" s="36">
        <f>+V294</f>
        <v>1</v>
      </c>
      <c r="W298" s="40">
        <f>+U298-V298</f>
        <v>6.8773210161662828</v>
      </c>
      <c r="X298" s="40"/>
    </row>
    <row r="299" spans="1:24" ht="15.75">
      <c r="A299" s="96" t="s">
        <v>129</v>
      </c>
      <c r="B299" s="35">
        <f>B297+26</f>
        <v>1617.5000000000005</v>
      </c>
      <c r="C299" s="35">
        <f>B299+0.6</f>
        <v>1618.1000000000004</v>
      </c>
      <c r="D299" s="35">
        <f>((C299-B299)/2)+B299</f>
        <v>1617.8000000000004</v>
      </c>
      <c r="E299" s="32"/>
      <c r="F299" s="42">
        <f>+(C299-B299)*1000</f>
        <v>599.99999999990905</v>
      </c>
      <c r="G299" s="35">
        <f>+B299+([4]Premissas!$C$109/1000+[4]Premissas!$C$110/1000/2)</f>
        <v>1617.6056700000004</v>
      </c>
      <c r="H299" s="35">
        <f>+C299-([4]Premissas!$C$109/1000+[4]Premissas!$C$110/1000/2)</f>
        <v>1617.9943300000004</v>
      </c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  <c r="W299" s="34"/>
      <c r="X299" s="34"/>
    </row>
    <row r="300" spans="1:24" ht="15.75">
      <c r="A300" s="96"/>
      <c r="B300" s="35"/>
      <c r="C300" s="35"/>
      <c r="D300" s="35"/>
      <c r="E300" s="32">
        <f>+B301-B299</f>
        <v>18.799999999999955</v>
      </c>
      <c r="F300" s="42"/>
      <c r="G300" s="34"/>
      <c r="H300" s="34"/>
      <c r="I300" s="35">
        <f>+G301-G299</f>
        <v>18.799999999999955</v>
      </c>
      <c r="J300" s="35">
        <f>+H301-H299</f>
        <v>18.799999999999955</v>
      </c>
      <c r="K300" s="36">
        <v>30</v>
      </c>
      <c r="L300" s="36">
        <f>(E300/K300)*60</f>
        <v>37.599999999999909</v>
      </c>
      <c r="M300" s="37">
        <f>+I300/K300*60</f>
        <v>37.599999999999909</v>
      </c>
      <c r="N300" s="37">
        <f>+J300/K300*60</f>
        <v>37.599999999999909</v>
      </c>
      <c r="O300" s="37">
        <f>+N300+M300</f>
        <v>75.199999999999818</v>
      </c>
      <c r="P300" s="37">
        <f>+(I300+J300)/(O300/60)</f>
        <v>30</v>
      </c>
      <c r="Q300" s="38">
        <f>+Q296</f>
        <v>0.15</v>
      </c>
      <c r="R300" s="37">
        <f>+P300-(P300*Q300)</f>
        <v>25.5</v>
      </c>
      <c r="S300" s="39">
        <f>+(I300+J300)/R300</f>
        <v>1.4745098039215652</v>
      </c>
      <c r="T300" s="36">
        <f>+(2*($C$5-$C$6)/(S300*60+$C$8))*$C$9/100</f>
        <v>21.465575833857816</v>
      </c>
      <c r="U300" s="36">
        <f>+T300/2</f>
        <v>10.732787916928908</v>
      </c>
      <c r="V300" s="36">
        <f>+V296</f>
        <v>1</v>
      </c>
      <c r="W300" s="40">
        <f>+U300-V300</f>
        <v>9.732787916928908</v>
      </c>
      <c r="X300" s="40"/>
    </row>
    <row r="301" spans="1:24" ht="15.75">
      <c r="A301" s="96" t="s">
        <v>130</v>
      </c>
      <c r="B301" s="35">
        <f>B299+18.8</f>
        <v>1636.3000000000004</v>
      </c>
      <c r="C301" s="35">
        <f>B301+0.6</f>
        <v>1636.9000000000003</v>
      </c>
      <c r="D301" s="35">
        <f>((C301-B301)/2)+B301</f>
        <v>1636.6000000000004</v>
      </c>
      <c r="E301" s="32"/>
      <c r="F301" s="42">
        <f>+(C301-B301)*1000</f>
        <v>599.99999999990905</v>
      </c>
      <c r="G301" s="35">
        <f>+B301+([4]Premissas!$C$109/1000+[4]Premissas!$C$110/1000/2)</f>
        <v>1636.4056700000003</v>
      </c>
      <c r="H301" s="35">
        <f>+C301-([4]Premissas!$C$109/1000+[4]Premissas!$C$110/1000/2)</f>
        <v>1636.7943300000004</v>
      </c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  <c r="W301" s="34"/>
      <c r="X301" s="34"/>
    </row>
    <row r="302" spans="1:24" ht="15.75">
      <c r="A302" s="96"/>
      <c r="B302" s="35"/>
      <c r="C302" s="35"/>
      <c r="D302" s="35"/>
      <c r="E302" s="32">
        <f>+B303-B301</f>
        <v>38.099999999999909</v>
      </c>
      <c r="F302" s="42"/>
      <c r="G302" s="35"/>
      <c r="H302" s="35"/>
      <c r="I302" s="35">
        <f>+G303-G301</f>
        <v>38.099999999999909</v>
      </c>
      <c r="J302" s="35">
        <f>+H303-H301</f>
        <v>38.099999999999909</v>
      </c>
      <c r="K302" s="36">
        <v>30</v>
      </c>
      <c r="L302" s="36">
        <f>(E302/K302)*60</f>
        <v>76.199999999999818</v>
      </c>
      <c r="M302" s="37">
        <f>+I302/K302*60</f>
        <v>76.199999999999818</v>
      </c>
      <c r="N302" s="37">
        <f>+J302/K302*60</f>
        <v>76.199999999999818</v>
      </c>
      <c r="O302" s="37">
        <f>+N302+M302</f>
        <v>152.39999999999964</v>
      </c>
      <c r="P302" s="37">
        <f>+(I302+J302)/(O302/60)</f>
        <v>30</v>
      </c>
      <c r="Q302" s="38">
        <f>+Q298</f>
        <v>0.15</v>
      </c>
      <c r="R302" s="37">
        <f>+P302-(P302*Q302)</f>
        <v>25.5</v>
      </c>
      <c r="S302" s="39">
        <f>+(I302+J302)/R302</f>
        <v>2.98823529411764</v>
      </c>
      <c r="T302" s="36">
        <f>+(2*($C$5-$C$6)/(S302*60+$C$8))*$C$9/100</f>
        <v>10.88694541972553</v>
      </c>
      <c r="U302" s="36">
        <f>+T302/2</f>
        <v>5.4434727098627649</v>
      </c>
      <c r="V302" s="36">
        <f>+V298</f>
        <v>1</v>
      </c>
      <c r="W302" s="40">
        <f>+U302-V302</f>
        <v>4.4434727098627649</v>
      </c>
      <c r="X302" s="40">
        <f>+W302</f>
        <v>4.4434727098627649</v>
      </c>
    </row>
    <row r="303" spans="1:24" ht="15.75">
      <c r="A303" s="96" t="s">
        <v>131</v>
      </c>
      <c r="B303" s="35">
        <f>+B301+38.1</f>
        <v>1674.4000000000003</v>
      </c>
      <c r="C303" s="35">
        <f>B303+0.6</f>
        <v>1675.0000000000002</v>
      </c>
      <c r="D303" s="35">
        <f>((C303-B303)/2)+B303</f>
        <v>1674.7000000000003</v>
      </c>
      <c r="E303" s="32"/>
      <c r="F303" s="42">
        <f>+(C303-B303)*1000</f>
        <v>599.99999999990905</v>
      </c>
      <c r="G303" s="35">
        <f>+B303+([4]Premissas!$C$109/1000+[4]Premissas!$C$110/1000/2)</f>
        <v>1674.5056700000002</v>
      </c>
      <c r="H303" s="35">
        <f>+C303-([4]Premissas!$C$109/1000+[4]Premissas!$C$110/1000/2)</f>
        <v>1674.8943300000003</v>
      </c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  <c r="W303" s="34"/>
      <c r="X303" s="34"/>
    </row>
    <row r="304" spans="1:24" ht="16.5" thickBot="1">
      <c r="A304" s="97"/>
      <c r="B304" s="50"/>
      <c r="C304" s="50"/>
      <c r="D304" s="50"/>
      <c r="E304" s="48">
        <f>+B305-B303</f>
        <v>28.899999999999636</v>
      </c>
      <c r="F304" s="49"/>
      <c r="G304" s="51"/>
      <c r="H304" s="51"/>
      <c r="I304" s="50">
        <f>+G305-G303</f>
        <v>28.899999999999636</v>
      </c>
      <c r="J304" s="50">
        <f>+H305-H303</f>
        <v>28.899999999999636</v>
      </c>
      <c r="K304" s="52">
        <v>30</v>
      </c>
      <c r="L304" s="52">
        <f>(E304/K304)*60</f>
        <v>57.799999999999272</v>
      </c>
      <c r="M304" s="89">
        <f>+I304/K304*60</f>
        <v>57.799999999999272</v>
      </c>
      <c r="N304" s="89">
        <f>+J304/K304*60</f>
        <v>57.799999999999272</v>
      </c>
      <c r="O304" s="89">
        <f>+N304+M304</f>
        <v>115.59999999999854</v>
      </c>
      <c r="P304" s="89">
        <f>+(I304+J304)/(O304/60)</f>
        <v>30</v>
      </c>
      <c r="Q304" s="92">
        <f>+Q300</f>
        <v>0.15</v>
      </c>
      <c r="R304" s="89">
        <f>+P304-(P304*Q304)</f>
        <v>25.5</v>
      </c>
      <c r="S304" s="93">
        <f>+(I304+J304)/R304</f>
        <v>2.2666666666666382</v>
      </c>
      <c r="T304" s="52">
        <f>+(2*($C$5-$C$6)/(S304*60+$C$8))*$C$9/100</f>
        <v>14.229787234042726</v>
      </c>
      <c r="U304" s="52">
        <f>+T304/2</f>
        <v>7.1148936170213632</v>
      </c>
      <c r="V304" s="52">
        <f>+V300</f>
        <v>1</v>
      </c>
      <c r="W304" s="90">
        <f>+U304-V304</f>
        <v>6.1148936170213632</v>
      </c>
      <c r="X304" s="51"/>
    </row>
    <row r="305" spans="1:29" ht="15.75">
      <c r="A305" s="99" t="s">
        <v>132</v>
      </c>
      <c r="B305" s="100">
        <f>+C305-0.6</f>
        <v>1703.3</v>
      </c>
      <c r="C305" s="100">
        <f>1703.6+0.3</f>
        <v>1703.8999999999999</v>
      </c>
      <c r="D305" s="100">
        <f>((C305-B305)/2)+B305</f>
        <v>1703.6</v>
      </c>
      <c r="E305" s="101"/>
      <c r="F305" s="102">
        <f>+(C305-B305)*1000</f>
        <v>599.99999999990905</v>
      </c>
      <c r="G305" s="100">
        <f>+B305+([4]Premissas!$C$109/1000+[4]Premissas!$C$110/1000/2)</f>
        <v>1703.4056699999999</v>
      </c>
      <c r="H305" s="100">
        <f>+C305-([4]Premissas!$C$109/1000+[4]Premissas!$C$110/1000/2)</f>
        <v>1703.7943299999999</v>
      </c>
      <c r="I305" s="66"/>
      <c r="J305" s="66"/>
      <c r="K305" s="66"/>
      <c r="L305" s="66"/>
      <c r="M305" s="66"/>
      <c r="N305" s="66"/>
      <c r="O305" s="66"/>
      <c r="P305" s="66"/>
      <c r="Q305" s="66"/>
      <c r="R305" s="66"/>
      <c r="S305" s="66"/>
      <c r="T305" s="66"/>
      <c r="U305" s="66"/>
      <c r="V305" s="66"/>
      <c r="W305" s="66"/>
      <c r="X305" s="66"/>
    </row>
    <row r="306" spans="1:29" ht="15.75">
      <c r="A306" s="53">
        <v>26</v>
      </c>
      <c r="B306" s="54" t="s">
        <v>14</v>
      </c>
      <c r="C306" s="54"/>
      <c r="D306" s="55"/>
      <c r="E306" s="55"/>
      <c r="F306" s="56">
        <f>SUM(F245:F305)-F245</f>
        <v>17399.999999997362</v>
      </c>
      <c r="G306" s="35"/>
      <c r="H306" s="35"/>
      <c r="I306" s="34"/>
      <c r="J306" s="34"/>
      <c r="K306" s="36"/>
      <c r="L306" s="36"/>
      <c r="M306" s="34"/>
      <c r="N306" s="34"/>
      <c r="O306" s="34"/>
      <c r="P306" s="34"/>
      <c r="Q306" s="34"/>
      <c r="R306" s="34"/>
      <c r="S306" s="34"/>
      <c r="T306" s="34"/>
      <c r="U306" s="34"/>
      <c r="V306" s="34"/>
      <c r="W306" s="34"/>
      <c r="X306" s="34"/>
    </row>
    <row r="307" spans="1:29">
      <c r="A307" s="34"/>
      <c r="B307" s="57"/>
      <c r="C307" s="34" t="s">
        <v>154</v>
      </c>
      <c r="D307" s="58"/>
      <c r="E307" s="58"/>
      <c r="F307" s="59"/>
      <c r="G307" s="60"/>
      <c r="H307" s="60"/>
      <c r="I307" s="61"/>
      <c r="J307" s="61"/>
      <c r="K307" s="62"/>
      <c r="L307" s="62"/>
      <c r="M307" s="61"/>
      <c r="N307" s="61"/>
      <c r="O307" s="61"/>
      <c r="P307" s="34" t="s">
        <v>64</v>
      </c>
      <c r="Q307" s="34"/>
      <c r="R307" s="34"/>
      <c r="S307" s="34"/>
      <c r="T307" s="34"/>
      <c r="U307" s="36">
        <f>+U302</f>
        <v>5.4434727098627649</v>
      </c>
      <c r="V307" s="61"/>
      <c r="W307" s="1"/>
      <c r="X307" s="61"/>
      <c r="Z307" s="103">
        <f>+U280</f>
        <v>9.886608695652173</v>
      </c>
      <c r="AA307" s="103">
        <f>+U288</f>
        <v>6.678646153846155</v>
      </c>
      <c r="AB307" s="103">
        <f>+U286</f>
        <v>12.473179396092334</v>
      </c>
      <c r="AC307" s="104">
        <f>+U290</f>
        <v>11.654866738260326</v>
      </c>
    </row>
    <row r="308" spans="1:29">
      <c r="A308" s="34" t="s">
        <v>157</v>
      </c>
      <c r="B308" s="34"/>
      <c r="C308" s="34"/>
      <c r="D308" s="34"/>
      <c r="E308" s="81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 t="s">
        <v>65</v>
      </c>
      <c r="Q308" s="34"/>
      <c r="R308" s="34"/>
      <c r="S308" s="34"/>
      <c r="T308" s="34"/>
      <c r="U308" s="36">
        <f>+W302</f>
        <v>4.4434727098627649</v>
      </c>
      <c r="V308" s="33"/>
      <c r="W308" s="1"/>
      <c r="X308" s="34"/>
      <c r="Z308" s="104">
        <f>+W280</f>
        <v>7.886608695652173</v>
      </c>
      <c r="AA308" s="104">
        <f>+W288</f>
        <v>5.678646153846155</v>
      </c>
      <c r="AB308" s="104">
        <f>+W286</f>
        <v>11.473179396092334</v>
      </c>
      <c r="AC308" s="104">
        <f>+W290</f>
        <v>10.654866738260326</v>
      </c>
    </row>
    <row r="309" spans="1:29">
      <c r="A309" s="34" t="s">
        <v>66</v>
      </c>
      <c r="B309" s="34"/>
      <c r="C309" s="34"/>
      <c r="D309" s="34"/>
      <c r="E309" s="81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 t="s">
        <v>67</v>
      </c>
      <c r="Q309" s="34"/>
      <c r="R309" s="34"/>
      <c r="S309" s="34"/>
      <c r="T309" s="34"/>
      <c r="U309" s="82">
        <f>+U225</f>
        <v>702</v>
      </c>
      <c r="V309" s="34"/>
      <c r="W309" s="1"/>
      <c r="X309" s="34"/>
      <c r="Z309" s="105">
        <f>+U309</f>
        <v>702</v>
      </c>
      <c r="AA309" s="105">
        <f>+U309</f>
        <v>702</v>
      </c>
      <c r="AB309" s="105">
        <f>+U309</f>
        <v>702</v>
      </c>
      <c r="AC309" s="105">
        <f>+AB309</f>
        <v>702</v>
      </c>
    </row>
    <row r="310" spans="1:29">
      <c r="A310" s="34" t="s">
        <v>159</v>
      </c>
      <c r="B310" s="34"/>
      <c r="C310" s="34"/>
      <c r="D310" s="34"/>
      <c r="E310" s="81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66" t="s">
        <v>68</v>
      </c>
      <c r="Q310" s="66"/>
      <c r="R310" s="66"/>
      <c r="S310" s="66"/>
      <c r="T310" s="66"/>
      <c r="U310" s="86">
        <f>+U226</f>
        <v>300</v>
      </c>
      <c r="V310" s="66"/>
      <c r="W310" s="66"/>
      <c r="X310" s="34"/>
      <c r="Z310" s="105">
        <f>+U310</f>
        <v>300</v>
      </c>
      <c r="AA310" s="105">
        <f>+U310</f>
        <v>300</v>
      </c>
      <c r="AB310" s="105">
        <f>+U310</f>
        <v>300</v>
      </c>
      <c r="AC310" s="105">
        <f>+AB310</f>
        <v>300</v>
      </c>
    </row>
    <row r="311" spans="1:29" ht="15.75">
      <c r="A311" s="34"/>
      <c r="B311" s="34"/>
      <c r="C311" s="34"/>
      <c r="D311" s="34"/>
      <c r="E311" s="81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77" t="s">
        <v>69</v>
      </c>
      <c r="Q311" s="77"/>
      <c r="R311" s="77"/>
      <c r="S311" s="77"/>
      <c r="T311" s="77"/>
      <c r="U311" s="79">
        <f>+(U308*U309*U310)/1000000</f>
        <v>0.93579535269709824</v>
      </c>
      <c r="V311" s="77"/>
      <c r="W311" s="1"/>
      <c r="X311" s="77"/>
      <c r="Z311" s="76">
        <f>+(Z308*Z309*Z310)/1000000</f>
        <v>1.6609197913043479</v>
      </c>
      <c r="AA311" s="76">
        <f>+(AA308*AA309*AA310)/1000000</f>
        <v>1.1959228800000004</v>
      </c>
      <c r="AB311" s="76">
        <f>+(AB308*AB309*AB310)/1000000</f>
        <v>2.4162515808170455</v>
      </c>
      <c r="AC311" s="76">
        <f>+(AC308*AC309*AC310)/1000000</f>
        <v>2.2439149350776244</v>
      </c>
    </row>
    <row r="312" spans="1:29" ht="20.25">
      <c r="A312" s="34"/>
      <c r="B312" s="34"/>
      <c r="C312" s="34"/>
      <c r="D312" s="34"/>
      <c r="E312" s="106"/>
      <c r="F312" s="107"/>
      <c r="G312" s="107"/>
      <c r="H312" s="107"/>
      <c r="I312" s="34"/>
      <c r="J312" s="34"/>
      <c r="K312" s="34"/>
      <c r="L312" s="34"/>
      <c r="M312" s="34"/>
      <c r="N312" s="34"/>
      <c r="O312" s="34"/>
      <c r="P312" s="77" t="s">
        <v>69</v>
      </c>
      <c r="Q312" s="77"/>
      <c r="R312" s="77"/>
      <c r="T312" s="78">
        <f>+T228</f>
        <v>0.1</v>
      </c>
      <c r="U312" s="79">
        <f>+U311/(1+T312)</f>
        <v>0.85072304790645292</v>
      </c>
      <c r="V312" s="77" t="s">
        <v>70</v>
      </c>
      <c r="W312" s="1"/>
      <c r="X312" s="77"/>
      <c r="Z312" s="76">
        <f>+Z311/(1+T312)</f>
        <v>1.5099270830039524</v>
      </c>
      <c r="AA312" s="76">
        <f>+AA311/(1+T312)</f>
        <v>1.0872026181818184</v>
      </c>
      <c r="AB312" s="76">
        <f>+AB311/(1+T312)</f>
        <v>2.1965923461973138</v>
      </c>
      <c r="AC312" s="76">
        <f>+AC311/(1+T312)</f>
        <v>2.0399226682523857</v>
      </c>
    </row>
  </sheetData>
  <mergeCells count="150">
    <mergeCell ref="A241:A244"/>
    <mergeCell ref="B241:E241"/>
    <mergeCell ref="F241:F243"/>
    <mergeCell ref="G241:H241"/>
    <mergeCell ref="I241:J241"/>
    <mergeCell ref="K241:K243"/>
    <mergeCell ref="L241:L243"/>
    <mergeCell ref="M241:P241"/>
    <mergeCell ref="I242:I243"/>
    <mergeCell ref="J242:J243"/>
    <mergeCell ref="O242:P242"/>
    <mergeCell ref="T209:U209"/>
    <mergeCell ref="V209:W209"/>
    <mergeCell ref="X241:X244"/>
    <mergeCell ref="B242:B243"/>
    <mergeCell ref="C242:C243"/>
    <mergeCell ref="D242:D243"/>
    <mergeCell ref="E242:E243"/>
    <mergeCell ref="G242:G243"/>
    <mergeCell ref="H242:H243"/>
    <mergeCell ref="T242:T244"/>
    <mergeCell ref="U242:U244"/>
    <mergeCell ref="V242:V244"/>
    <mergeCell ref="W242:W244"/>
    <mergeCell ref="R241:R243"/>
    <mergeCell ref="T241:U241"/>
    <mergeCell ref="V241:W241"/>
    <mergeCell ref="V166:W166"/>
    <mergeCell ref="X209:X212"/>
    <mergeCell ref="B210:B211"/>
    <mergeCell ref="C210:C211"/>
    <mergeCell ref="D210:D211"/>
    <mergeCell ref="E210:E211"/>
    <mergeCell ref="G210:G211"/>
    <mergeCell ref="H210:H211"/>
    <mergeCell ref="A209:A212"/>
    <mergeCell ref="B209:E209"/>
    <mergeCell ref="F209:F211"/>
    <mergeCell ref="G209:H209"/>
    <mergeCell ref="I209:J209"/>
    <mergeCell ref="K209:K211"/>
    <mergeCell ref="L209:L211"/>
    <mergeCell ref="M209:P209"/>
    <mergeCell ref="I210:I211"/>
    <mergeCell ref="J210:J211"/>
    <mergeCell ref="O210:P210"/>
    <mergeCell ref="T210:T212"/>
    <mergeCell ref="U210:U212"/>
    <mergeCell ref="V210:V212"/>
    <mergeCell ref="W210:W212"/>
    <mergeCell ref="R209:R211"/>
    <mergeCell ref="X166:X169"/>
    <mergeCell ref="B167:B168"/>
    <mergeCell ref="C167:C168"/>
    <mergeCell ref="D167:D168"/>
    <mergeCell ref="E167:E168"/>
    <mergeCell ref="G167:G168"/>
    <mergeCell ref="H167:H168"/>
    <mergeCell ref="A166:A169"/>
    <mergeCell ref="B166:E166"/>
    <mergeCell ref="F166:F168"/>
    <mergeCell ref="G166:H166"/>
    <mergeCell ref="I166:J166"/>
    <mergeCell ref="K166:K168"/>
    <mergeCell ref="L166:L168"/>
    <mergeCell ref="M166:P166"/>
    <mergeCell ref="I167:I168"/>
    <mergeCell ref="J167:J168"/>
    <mergeCell ref="O167:P167"/>
    <mergeCell ref="T167:T169"/>
    <mergeCell ref="U167:U169"/>
    <mergeCell ref="V167:V169"/>
    <mergeCell ref="W167:W169"/>
    <mergeCell ref="R166:R168"/>
    <mergeCell ref="T166:U166"/>
    <mergeCell ref="A127:A130"/>
    <mergeCell ref="B127:E127"/>
    <mergeCell ref="F127:F129"/>
    <mergeCell ref="G127:H127"/>
    <mergeCell ref="I127:J127"/>
    <mergeCell ref="K127:K129"/>
    <mergeCell ref="L127:L129"/>
    <mergeCell ref="M127:P127"/>
    <mergeCell ref="I128:I129"/>
    <mergeCell ref="J128:J129"/>
    <mergeCell ref="O128:P128"/>
    <mergeCell ref="T70:U70"/>
    <mergeCell ref="V70:W70"/>
    <mergeCell ref="X127:X130"/>
    <mergeCell ref="B128:B129"/>
    <mergeCell ref="C128:C129"/>
    <mergeCell ref="D128:D129"/>
    <mergeCell ref="E128:E129"/>
    <mergeCell ref="G128:G129"/>
    <mergeCell ref="H128:H129"/>
    <mergeCell ref="T128:T130"/>
    <mergeCell ref="U128:U130"/>
    <mergeCell ref="V128:V130"/>
    <mergeCell ref="W128:W130"/>
    <mergeCell ref="R127:R129"/>
    <mergeCell ref="T127:U127"/>
    <mergeCell ref="V127:W127"/>
    <mergeCell ref="V11:W11"/>
    <mergeCell ref="X70:X73"/>
    <mergeCell ref="B71:B72"/>
    <mergeCell ref="C71:C72"/>
    <mergeCell ref="D71:D72"/>
    <mergeCell ref="E71:E72"/>
    <mergeCell ref="G71:G72"/>
    <mergeCell ref="H71:H72"/>
    <mergeCell ref="A70:A73"/>
    <mergeCell ref="B70:E70"/>
    <mergeCell ref="F70:F72"/>
    <mergeCell ref="G70:H70"/>
    <mergeCell ref="I70:J70"/>
    <mergeCell ref="K70:K72"/>
    <mergeCell ref="L70:L72"/>
    <mergeCell ref="M70:P70"/>
    <mergeCell ref="I71:I72"/>
    <mergeCell ref="J71:J72"/>
    <mergeCell ref="O71:P71"/>
    <mergeCell ref="T71:T73"/>
    <mergeCell ref="U71:U73"/>
    <mergeCell ref="V71:V73"/>
    <mergeCell ref="W71:W73"/>
    <mergeCell ref="R70:R72"/>
    <mergeCell ref="X11:X14"/>
    <mergeCell ref="B12:B13"/>
    <mergeCell ref="C12:C13"/>
    <mergeCell ref="D12:D13"/>
    <mergeCell ref="E12:E13"/>
    <mergeCell ref="G12:G13"/>
    <mergeCell ref="H12:H13"/>
    <mergeCell ref="A11:A14"/>
    <mergeCell ref="B11:E11"/>
    <mergeCell ref="F11:F13"/>
    <mergeCell ref="G11:H11"/>
    <mergeCell ref="I11:J11"/>
    <mergeCell ref="K11:K13"/>
    <mergeCell ref="L11:L13"/>
    <mergeCell ref="M11:P11"/>
    <mergeCell ref="I12:I13"/>
    <mergeCell ref="J12:J13"/>
    <mergeCell ref="O12:P12"/>
    <mergeCell ref="T12:T14"/>
    <mergeCell ref="U12:U14"/>
    <mergeCell ref="V12:V14"/>
    <mergeCell ref="W12:W14"/>
    <mergeCell ref="R11:R13"/>
    <mergeCell ref="T11:U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5.6.63.1 a 5.6.63.6 PVAr45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2011-04-14T17:06:16Z</dcterms:created>
  <dcterms:modified xsi:type="dcterms:W3CDTF">2011-08-25T14:48:29Z</dcterms:modified>
</cp:coreProperties>
</file>