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1840" windowHeight="11820"/>
  </bookViews>
  <sheets>
    <sheet name="Patamares" sheetId="3" r:id="rId1"/>
    <sheet name="Trens Atuais" sheetId="4" r:id="rId2"/>
    <sheet name="Trens Futuros" sheetId="5" r:id="rId3"/>
    <sheet name="Premissas" sheetId="6" r:id="rId4"/>
    <sheet name="Trens Tipos e Ciclos" sheetId="1" r:id="rId5"/>
    <sheet name="Frotas" sheetId="7" r:id="rId6"/>
  </sheets>
  <externalReferences>
    <externalReference r:id="rId7"/>
    <externalReference r:id="rId8"/>
    <externalReference r:id="rId9"/>
    <externalReference r:id="rId10"/>
    <externalReference r:id="rId11"/>
  </externalReferences>
  <definedNames>
    <definedName name="BranchOffPosi">'[1]Distance Table'!$F$53</definedName>
    <definedName name="CycleLocos">'[2]Nacala Cylcle'!$G$21</definedName>
    <definedName name="CycleWagons">'[2]Nacala Cylcle'!$F$21</definedName>
    <definedName name="Info_Toets">#REF!</definedName>
    <definedName name="Info_Updated">#REF!</definedName>
    <definedName name="ManningScheduleTable">'[3]Staff Summary'!$B$3:$N$37</definedName>
    <definedName name="NacalaExitPosi">'[1]Distance Table'!$F$54</definedName>
    <definedName name="RoadVehicleLiters">[3]Vehicles!$L$75</definedName>
    <definedName name="S2_ToKm">'[1]Distance Table'!$D$5</definedName>
    <definedName name="S3A3B_BorderPosi">'[1]Distance Table'!$F$41</definedName>
    <definedName name="S4_FromKm">'[1]Distance Table'!$C$7</definedName>
    <definedName name="S4_ToKm">'[1]Distance Table'!$D$7</definedName>
    <definedName name="S6_FromKm">'[1]Distance Table'!$C$9</definedName>
    <definedName name="S6_ToKm">'[1]Distance Table'!$D$9</definedName>
    <definedName name="Sec7Regrade">'[1]Section7 Regrade'!$E$21</definedName>
    <definedName name="ShireRiverPosi">'[1]Distance Table'!$F$43</definedName>
    <definedName name="Tabel_Toets">#REF!</definedName>
    <definedName name="Temp">#REF!</definedName>
  </definedNames>
  <calcPr calcId="145621"/>
</workbook>
</file>

<file path=xl/calcChain.xml><?xml version="1.0" encoding="utf-8"?>
<calcChain xmlns="http://schemas.openxmlformats.org/spreadsheetml/2006/main">
  <c r="C25" i="5" l="1"/>
  <c r="C75" i="7" s="1"/>
  <c r="C118" i="7" s="1"/>
  <c r="D21" i="5"/>
  <c r="E21" i="5"/>
  <c r="F21" i="5"/>
  <c r="G21" i="5"/>
  <c r="H21" i="5"/>
  <c r="I21" i="5"/>
  <c r="J21" i="5"/>
  <c r="K21" i="5"/>
  <c r="K41" i="5" s="1"/>
  <c r="L21" i="5"/>
  <c r="M21" i="5"/>
  <c r="N21" i="5"/>
  <c r="C21" i="5"/>
  <c r="E66" i="6"/>
  <c r="E49" i="1" s="1"/>
  <c r="E61" i="7" s="1"/>
  <c r="E104" i="7" s="1"/>
  <c r="E147" i="7" s="1"/>
  <c r="F66" i="6"/>
  <c r="F49" i="1" s="1"/>
  <c r="F61" i="7" s="1"/>
  <c r="F104" i="7" s="1"/>
  <c r="F147" i="7" s="1"/>
  <c r="G66" i="6"/>
  <c r="G49" i="1" s="1"/>
  <c r="G61" i="7" s="1"/>
  <c r="G104" i="7" s="1"/>
  <c r="G147" i="7" s="1"/>
  <c r="H66" i="6"/>
  <c r="H49" i="1" s="1"/>
  <c r="H61" i="7" s="1"/>
  <c r="H104" i="7" s="1"/>
  <c r="H147" i="7" s="1"/>
  <c r="I66" i="6"/>
  <c r="I49" i="1" s="1"/>
  <c r="I61" i="7" s="1"/>
  <c r="I104" i="7" s="1"/>
  <c r="I147" i="7" s="1"/>
  <c r="J66" i="6"/>
  <c r="J49" i="1" s="1"/>
  <c r="J61" i="7" s="1"/>
  <c r="J104" i="7" s="1"/>
  <c r="J147" i="7" s="1"/>
  <c r="K66" i="6"/>
  <c r="L66" i="6"/>
  <c r="L49" i="1" s="1"/>
  <c r="L61" i="7" s="1"/>
  <c r="L104" i="7" s="1"/>
  <c r="L147" i="7" s="1"/>
  <c r="M66" i="6"/>
  <c r="M49" i="1" s="1"/>
  <c r="M61" i="7" s="1"/>
  <c r="M104" i="7" s="1"/>
  <c r="M147" i="7" s="1"/>
  <c r="N66" i="6"/>
  <c r="N49" i="1" s="1"/>
  <c r="N61" i="7" s="1"/>
  <c r="N104" i="7" s="1"/>
  <c r="N147" i="7" s="1"/>
  <c r="O66" i="6"/>
  <c r="O49" i="1" s="1"/>
  <c r="O61" i="7" s="1"/>
  <c r="O104" i="7" s="1"/>
  <c r="O147" i="7" s="1"/>
  <c r="D67" i="6"/>
  <c r="E67" i="6"/>
  <c r="F67" i="6"/>
  <c r="G67" i="6"/>
  <c r="H67" i="6"/>
  <c r="I67" i="6"/>
  <c r="J67" i="6"/>
  <c r="K67" i="6"/>
  <c r="L67" i="6"/>
  <c r="M67" i="6"/>
  <c r="N67" i="6"/>
  <c r="O67" i="6"/>
  <c r="E72" i="6"/>
  <c r="E56" i="1" s="1"/>
  <c r="F72" i="6"/>
  <c r="F56" i="1" s="1"/>
  <c r="G72" i="6"/>
  <c r="G56" i="1" s="1"/>
  <c r="M72" i="6"/>
  <c r="M56" i="1" s="1"/>
  <c r="N72" i="6"/>
  <c r="N56" i="1" s="1"/>
  <c r="O72" i="6"/>
  <c r="O56" i="1" s="1"/>
  <c r="C67" i="6"/>
  <c r="C50" i="1" s="1"/>
  <c r="C62" i="7" s="1"/>
  <c r="C105" i="7" s="1"/>
  <c r="C148" i="7" s="1"/>
  <c r="C66" i="6"/>
  <c r="D55" i="6"/>
  <c r="E55" i="6"/>
  <c r="F55" i="6"/>
  <c r="G55" i="6"/>
  <c r="H55" i="6"/>
  <c r="H48" i="1" s="1"/>
  <c r="I55" i="6"/>
  <c r="J55" i="6"/>
  <c r="J48" i="1" s="1"/>
  <c r="K55" i="6"/>
  <c r="L55" i="6"/>
  <c r="M55" i="6"/>
  <c r="N55" i="6"/>
  <c r="O55" i="6"/>
  <c r="D59" i="6"/>
  <c r="D69" i="6" s="1"/>
  <c r="D52" i="1" s="1"/>
  <c r="D63" i="7" s="1"/>
  <c r="F59" i="6"/>
  <c r="F69" i="6" s="1"/>
  <c r="F52" i="1" s="1"/>
  <c r="F63" i="7" s="1"/>
  <c r="L59" i="6"/>
  <c r="L69" i="6" s="1"/>
  <c r="L52" i="1" s="1"/>
  <c r="L63" i="7" s="1"/>
  <c r="N59" i="6"/>
  <c r="N69" i="6" s="1"/>
  <c r="N52" i="1" s="1"/>
  <c r="N63" i="7" s="1"/>
  <c r="K61" i="6"/>
  <c r="K59" i="7" s="1"/>
  <c r="K102" i="7" s="1"/>
  <c r="K145" i="7" s="1"/>
  <c r="K191" i="7" s="1"/>
  <c r="L61" i="6"/>
  <c r="L59" i="7" s="1"/>
  <c r="L102" i="7" s="1"/>
  <c r="L145" i="7" s="1"/>
  <c r="K62" i="6"/>
  <c r="L62" i="6"/>
  <c r="D63" i="6"/>
  <c r="E63" i="6"/>
  <c r="F63" i="6"/>
  <c r="G63" i="6"/>
  <c r="H63" i="6"/>
  <c r="I63" i="6"/>
  <c r="J63" i="6"/>
  <c r="K63" i="6"/>
  <c r="L63" i="6"/>
  <c r="M63" i="6"/>
  <c r="N63" i="6"/>
  <c r="O63" i="6"/>
  <c r="C63" i="6"/>
  <c r="C62" i="6"/>
  <c r="C61" i="6"/>
  <c r="C59" i="7" s="1"/>
  <c r="C102" i="7" s="1"/>
  <c r="C145" i="7" s="1"/>
  <c r="C191" i="7" s="1"/>
  <c r="C60" i="6"/>
  <c r="C31" i="7" s="1"/>
  <c r="C55" i="6"/>
  <c r="C48" i="1" s="1"/>
  <c r="C48" i="6"/>
  <c r="C47" i="6"/>
  <c r="C46" i="6"/>
  <c r="C44" i="6"/>
  <c r="C45" i="6"/>
  <c r="C43" i="6"/>
  <c r="D42" i="6"/>
  <c r="D47" i="1" s="1"/>
  <c r="E42" i="6"/>
  <c r="F42" i="6"/>
  <c r="F47" i="1" s="1"/>
  <c r="G42" i="6"/>
  <c r="H42" i="6"/>
  <c r="H47" i="1" s="1"/>
  <c r="I42" i="6"/>
  <c r="J42" i="6"/>
  <c r="K42" i="6"/>
  <c r="L42" i="6"/>
  <c r="L47" i="1" s="1"/>
  <c r="M42" i="6"/>
  <c r="N42" i="6"/>
  <c r="N47" i="1" s="1"/>
  <c r="O42" i="6"/>
  <c r="C42" i="6"/>
  <c r="C47" i="1" s="1"/>
  <c r="O167" i="7"/>
  <c r="H167" i="7"/>
  <c r="I167" i="7"/>
  <c r="J167" i="7"/>
  <c r="K167" i="7"/>
  <c r="L167" i="7"/>
  <c r="M167" i="7"/>
  <c r="N167" i="7"/>
  <c r="D167" i="7"/>
  <c r="E167" i="7"/>
  <c r="F167" i="7"/>
  <c r="G167" i="7"/>
  <c r="C167" i="7"/>
  <c r="N124" i="7"/>
  <c r="O124" i="7"/>
  <c r="H124" i="7"/>
  <c r="I124" i="7"/>
  <c r="J124" i="7"/>
  <c r="K124" i="7"/>
  <c r="L124" i="7"/>
  <c r="M124" i="7"/>
  <c r="D124" i="7"/>
  <c r="E124" i="7"/>
  <c r="F124" i="7"/>
  <c r="G124" i="7"/>
  <c r="C124" i="7"/>
  <c r="D81" i="7"/>
  <c r="D272" i="7" s="1"/>
  <c r="E81" i="7"/>
  <c r="E272" i="7" s="1"/>
  <c r="F81" i="7"/>
  <c r="F272" i="7" s="1"/>
  <c r="G81" i="7"/>
  <c r="G272" i="7" s="1"/>
  <c r="H81" i="7"/>
  <c r="H272" i="7" s="1"/>
  <c r="I81" i="7"/>
  <c r="I272" i="7" s="1"/>
  <c r="J81" i="7"/>
  <c r="J272" i="7" s="1"/>
  <c r="K81" i="7"/>
  <c r="K272" i="7" s="1"/>
  <c r="L81" i="7"/>
  <c r="L272" i="7" s="1"/>
  <c r="M81" i="7"/>
  <c r="M272" i="7" s="1"/>
  <c r="N81" i="7"/>
  <c r="N272" i="7" s="1"/>
  <c r="O81" i="7"/>
  <c r="O272" i="7" s="1"/>
  <c r="K69" i="7"/>
  <c r="K112" i="7" s="1"/>
  <c r="K155" i="7" s="1"/>
  <c r="L69" i="7"/>
  <c r="L112" i="7" s="1"/>
  <c r="L155" i="7" s="1"/>
  <c r="M69" i="7"/>
  <c r="M112" i="7" s="1"/>
  <c r="M155" i="7" s="1"/>
  <c r="N69" i="7"/>
  <c r="N112" i="7" s="1"/>
  <c r="N155" i="7" s="1"/>
  <c r="K71" i="7"/>
  <c r="K114" i="7" s="1"/>
  <c r="K157" i="7" s="1"/>
  <c r="L71" i="7"/>
  <c r="L114" i="7" s="1"/>
  <c r="L157" i="7" s="1"/>
  <c r="L193" i="7" s="1"/>
  <c r="M71" i="7"/>
  <c r="M114" i="7" s="1"/>
  <c r="M157" i="7" s="1"/>
  <c r="N71" i="7"/>
  <c r="N114" i="7" s="1"/>
  <c r="N157" i="7" s="1"/>
  <c r="N193" i="7" s="1"/>
  <c r="O71" i="7"/>
  <c r="O114" i="7" s="1"/>
  <c r="O157" i="7" s="1"/>
  <c r="F71" i="7"/>
  <c r="F114" i="7" s="1"/>
  <c r="F157" i="7" s="1"/>
  <c r="G71" i="7"/>
  <c r="G114" i="7" s="1"/>
  <c r="G157" i="7" s="1"/>
  <c r="G193" i="7" s="1"/>
  <c r="H71" i="7"/>
  <c r="H114" i="7" s="1"/>
  <c r="H157" i="7" s="1"/>
  <c r="I71" i="7"/>
  <c r="I114" i="7" s="1"/>
  <c r="I157" i="7" s="1"/>
  <c r="J71" i="7"/>
  <c r="J114" i="7" s="1"/>
  <c r="J157" i="7" s="1"/>
  <c r="D71" i="7"/>
  <c r="D114" i="7" s="1"/>
  <c r="D157" i="7" s="1"/>
  <c r="E71" i="7"/>
  <c r="E114" i="7" s="1"/>
  <c r="E157" i="7" s="1"/>
  <c r="D55" i="7"/>
  <c r="D98" i="7" s="1"/>
  <c r="D141" i="7" s="1"/>
  <c r="E55" i="7"/>
  <c r="E98" i="7" s="1"/>
  <c r="E141" i="7" s="1"/>
  <c r="F55" i="7"/>
  <c r="F98" i="7" s="1"/>
  <c r="F141" i="7" s="1"/>
  <c r="G55" i="7"/>
  <c r="G98" i="7" s="1"/>
  <c r="G141" i="7" s="1"/>
  <c r="H55" i="7"/>
  <c r="H98" i="7" s="1"/>
  <c r="H141" i="7" s="1"/>
  <c r="I55" i="7"/>
  <c r="I98" i="7" s="1"/>
  <c r="I141" i="7" s="1"/>
  <c r="J55" i="7"/>
  <c r="J98" i="7" s="1"/>
  <c r="J141" i="7" s="1"/>
  <c r="K55" i="7"/>
  <c r="K98" i="7" s="1"/>
  <c r="K141" i="7" s="1"/>
  <c r="L55" i="7"/>
  <c r="L98" i="7" s="1"/>
  <c r="L141" i="7" s="1"/>
  <c r="M55" i="7"/>
  <c r="M98" i="7" s="1"/>
  <c r="M141" i="7" s="1"/>
  <c r="N55" i="7"/>
  <c r="N98" i="7" s="1"/>
  <c r="N141" i="7" s="1"/>
  <c r="O55" i="7"/>
  <c r="O98" i="7" s="1"/>
  <c r="O141" i="7" s="1"/>
  <c r="C81" i="7"/>
  <c r="C272" i="7" s="1"/>
  <c r="C71" i="7"/>
  <c r="C69" i="7"/>
  <c r="C58" i="7"/>
  <c r="C55" i="7"/>
  <c r="E47" i="1"/>
  <c r="G47" i="1"/>
  <c r="I47" i="1"/>
  <c r="J47" i="1"/>
  <c r="K47" i="1"/>
  <c r="M47" i="1"/>
  <c r="O47" i="1"/>
  <c r="D59" i="1"/>
  <c r="E59" i="1"/>
  <c r="F59" i="1"/>
  <c r="G59" i="1"/>
  <c r="H59" i="1"/>
  <c r="I59" i="1"/>
  <c r="J59" i="1"/>
  <c r="K59" i="1"/>
  <c r="L59" i="1"/>
  <c r="M59" i="1"/>
  <c r="N59" i="1"/>
  <c r="O59" i="1"/>
  <c r="D60" i="1"/>
  <c r="E60" i="1"/>
  <c r="F60" i="1"/>
  <c r="G60" i="1"/>
  <c r="H60" i="1"/>
  <c r="I60" i="1"/>
  <c r="J60" i="1"/>
  <c r="K60" i="1"/>
  <c r="L60" i="1"/>
  <c r="M60" i="1"/>
  <c r="N60" i="1"/>
  <c r="O60" i="1"/>
  <c r="N64" i="1"/>
  <c r="O64" i="1"/>
  <c r="D70" i="1"/>
  <c r="E70" i="1"/>
  <c r="F70" i="1"/>
  <c r="G70" i="1"/>
  <c r="H70" i="1"/>
  <c r="I70" i="1"/>
  <c r="J70" i="1"/>
  <c r="K70" i="1"/>
  <c r="L70" i="1"/>
  <c r="M70" i="1"/>
  <c r="N70" i="1"/>
  <c r="O70" i="1"/>
  <c r="D71" i="1"/>
  <c r="F71" i="1"/>
  <c r="G71" i="1"/>
  <c r="H71" i="1"/>
  <c r="I71" i="1"/>
  <c r="J71" i="1"/>
  <c r="K71" i="1"/>
  <c r="L71" i="1"/>
  <c r="M71" i="1"/>
  <c r="O71" i="1"/>
  <c r="E72" i="1"/>
  <c r="F72" i="1"/>
  <c r="H72" i="1"/>
  <c r="I72" i="1"/>
  <c r="J72" i="1"/>
  <c r="K72" i="1"/>
  <c r="L72" i="1"/>
  <c r="M72" i="1"/>
  <c r="O72" i="1"/>
  <c r="D73" i="1"/>
  <c r="C72" i="1"/>
  <c r="C71" i="1"/>
  <c r="C70" i="1"/>
  <c r="C64" i="1"/>
  <c r="C63" i="1"/>
  <c r="C60" i="1"/>
  <c r="C59" i="1"/>
  <c r="D10" i="7"/>
  <c r="E10" i="7"/>
  <c r="E12" i="7" s="1"/>
  <c r="F10" i="7"/>
  <c r="F12" i="7" s="1"/>
  <c r="F25" i="1" s="1"/>
  <c r="M10" i="7"/>
  <c r="N10" i="7"/>
  <c r="N12" i="7" s="1"/>
  <c r="N25" i="1" s="1"/>
  <c r="O10" i="7"/>
  <c r="D11" i="7"/>
  <c r="E11" i="7"/>
  <c r="F11" i="7"/>
  <c r="G11" i="7"/>
  <c r="H11" i="7"/>
  <c r="I11" i="7"/>
  <c r="J11" i="7"/>
  <c r="K11" i="7"/>
  <c r="L11" i="7"/>
  <c r="M11" i="7"/>
  <c r="N11" i="7"/>
  <c r="O11" i="7"/>
  <c r="D12" i="7"/>
  <c r="M12" i="7"/>
  <c r="D17" i="7"/>
  <c r="E17" i="7"/>
  <c r="F17" i="7"/>
  <c r="G17" i="7"/>
  <c r="H17" i="7"/>
  <c r="I17" i="7"/>
  <c r="J17" i="7"/>
  <c r="K17" i="7"/>
  <c r="L17" i="7"/>
  <c r="M17" i="7"/>
  <c r="N17" i="7"/>
  <c r="O17" i="7"/>
  <c r="D18" i="7"/>
  <c r="E18" i="7"/>
  <c r="F18" i="7"/>
  <c r="G18" i="7"/>
  <c r="H18" i="7"/>
  <c r="I18" i="7"/>
  <c r="J18" i="7"/>
  <c r="K18" i="7"/>
  <c r="L18" i="7"/>
  <c r="M18" i="7"/>
  <c r="N18" i="7"/>
  <c r="O18" i="7"/>
  <c r="F19" i="7"/>
  <c r="F30" i="7" s="1"/>
  <c r="H19" i="7"/>
  <c r="N19" i="7"/>
  <c r="N30" i="7" s="1"/>
  <c r="E22" i="7"/>
  <c r="E23" i="7" s="1"/>
  <c r="F22" i="7"/>
  <c r="F23" i="7" s="1"/>
  <c r="M22" i="7"/>
  <c r="M23" i="7" s="1"/>
  <c r="N22" i="7"/>
  <c r="N23" i="7" s="1"/>
  <c r="I23" i="7"/>
  <c r="J23" i="7"/>
  <c r="K25" i="7"/>
  <c r="L25" i="7"/>
  <c r="M25" i="7"/>
  <c r="N25" i="7"/>
  <c r="D27" i="7"/>
  <c r="E27" i="7"/>
  <c r="F27" i="7"/>
  <c r="G27" i="7"/>
  <c r="H27" i="7"/>
  <c r="I27" i="7"/>
  <c r="J27" i="7"/>
  <c r="K27" i="7"/>
  <c r="L27" i="7"/>
  <c r="M27" i="7"/>
  <c r="N27" i="7"/>
  <c r="O27" i="7"/>
  <c r="H30" i="7"/>
  <c r="D37" i="7"/>
  <c r="E37" i="7"/>
  <c r="F37" i="7"/>
  <c r="G37" i="7"/>
  <c r="H37" i="7"/>
  <c r="I37" i="7"/>
  <c r="J37" i="7"/>
  <c r="K37" i="7"/>
  <c r="L37" i="7"/>
  <c r="M37" i="7"/>
  <c r="N37" i="7"/>
  <c r="O37" i="7"/>
  <c r="C37" i="7"/>
  <c r="C27" i="7"/>
  <c r="C25" i="7"/>
  <c r="C21" i="7"/>
  <c r="C18" i="7"/>
  <c r="C17" i="7"/>
  <c r="C14" i="7"/>
  <c r="C11" i="7"/>
  <c r="C10" i="7"/>
  <c r="C12" i="7" s="1"/>
  <c r="C25" i="1" s="1"/>
  <c r="F10" i="6"/>
  <c r="D11" i="6"/>
  <c r="D9" i="7" s="1"/>
  <c r="E11" i="6"/>
  <c r="E9" i="7" s="1"/>
  <c r="F11" i="6"/>
  <c r="F9" i="7" s="1"/>
  <c r="G11" i="6"/>
  <c r="G9" i="7" s="1"/>
  <c r="H11" i="6"/>
  <c r="H9" i="7" s="1"/>
  <c r="I11" i="6"/>
  <c r="I9" i="7" s="1"/>
  <c r="J11" i="6"/>
  <c r="J9" i="7" s="1"/>
  <c r="K11" i="6"/>
  <c r="K9" i="7" s="1"/>
  <c r="L11" i="6"/>
  <c r="L9" i="7" s="1"/>
  <c r="M11" i="6"/>
  <c r="M9" i="7" s="1"/>
  <c r="N11" i="6"/>
  <c r="N9" i="7" s="1"/>
  <c r="O11" i="6"/>
  <c r="O9" i="7" s="1"/>
  <c r="O12" i="6"/>
  <c r="O53" i="7" s="1"/>
  <c r="J13" i="6"/>
  <c r="J96" i="7" s="1"/>
  <c r="K13" i="6"/>
  <c r="K96" i="7" s="1"/>
  <c r="K240" i="7" s="1"/>
  <c r="L13" i="6"/>
  <c r="L96" i="7" s="1"/>
  <c r="F14" i="6"/>
  <c r="F139" i="7" s="1"/>
  <c r="J14" i="6"/>
  <c r="J139" i="7" s="1"/>
  <c r="J249" i="7" s="1"/>
  <c r="L14" i="6"/>
  <c r="L139" i="7" s="1"/>
  <c r="O14" i="6"/>
  <c r="O139" i="7" s="1"/>
  <c r="C11" i="6"/>
  <c r="C9" i="7" s="1"/>
  <c r="D29" i="1"/>
  <c r="E29" i="1"/>
  <c r="F29" i="1"/>
  <c r="G29" i="1"/>
  <c r="H29" i="1"/>
  <c r="I29" i="1"/>
  <c r="J29" i="1"/>
  <c r="K29" i="1"/>
  <c r="L29" i="1"/>
  <c r="M29" i="1"/>
  <c r="N29" i="1"/>
  <c r="O29" i="1"/>
  <c r="D30" i="1"/>
  <c r="E30" i="1"/>
  <c r="F30" i="1"/>
  <c r="G30" i="1"/>
  <c r="H30" i="1"/>
  <c r="I30" i="1"/>
  <c r="J30" i="1"/>
  <c r="K30" i="1"/>
  <c r="L30" i="1"/>
  <c r="M30" i="1"/>
  <c r="N30" i="1"/>
  <c r="O30" i="1"/>
  <c r="D31" i="1"/>
  <c r="E31" i="1"/>
  <c r="F31" i="1"/>
  <c r="G31" i="1"/>
  <c r="H31" i="1"/>
  <c r="I31" i="1"/>
  <c r="J31" i="1"/>
  <c r="K31" i="1"/>
  <c r="L31" i="1"/>
  <c r="M31" i="1"/>
  <c r="N31" i="1"/>
  <c r="O31" i="1"/>
  <c r="D32" i="1"/>
  <c r="E32" i="1"/>
  <c r="F32" i="1"/>
  <c r="G32" i="1"/>
  <c r="H32" i="1"/>
  <c r="I32" i="1"/>
  <c r="J32" i="1"/>
  <c r="K32" i="1"/>
  <c r="L32" i="1"/>
  <c r="M32" i="1"/>
  <c r="N32" i="1"/>
  <c r="O32" i="1"/>
  <c r="C32" i="1"/>
  <c r="C31" i="1"/>
  <c r="C30" i="1"/>
  <c r="C29" i="1"/>
  <c r="N24" i="1"/>
  <c r="O24" i="1"/>
  <c r="C24" i="1"/>
  <c r="C23" i="1"/>
  <c r="D20" i="1"/>
  <c r="E20" i="1"/>
  <c r="F20" i="1"/>
  <c r="G20" i="1"/>
  <c r="H20" i="1"/>
  <c r="I20" i="1"/>
  <c r="J20" i="1"/>
  <c r="K20" i="1"/>
  <c r="L20" i="1"/>
  <c r="M20" i="1"/>
  <c r="N20" i="1"/>
  <c r="O20" i="1"/>
  <c r="C20" i="1"/>
  <c r="C19" i="1"/>
  <c r="I16" i="1"/>
  <c r="J16" i="1"/>
  <c r="G13" i="1"/>
  <c r="K13" i="1"/>
  <c r="L13" i="1"/>
  <c r="O13" i="1"/>
  <c r="C14" i="1"/>
  <c r="C13" i="1"/>
  <c r="D12" i="1"/>
  <c r="E12" i="1"/>
  <c r="F12" i="1"/>
  <c r="G12" i="1"/>
  <c r="H12" i="1"/>
  <c r="I12" i="1"/>
  <c r="J12" i="1"/>
  <c r="K12" i="1"/>
  <c r="L12" i="1"/>
  <c r="M12" i="1"/>
  <c r="N12" i="1"/>
  <c r="O12" i="1"/>
  <c r="C12" i="1"/>
  <c r="D11" i="1"/>
  <c r="E11" i="1"/>
  <c r="F11" i="1"/>
  <c r="G11" i="1"/>
  <c r="H11" i="1"/>
  <c r="I11" i="1"/>
  <c r="J11" i="1"/>
  <c r="K11" i="1"/>
  <c r="L11" i="1"/>
  <c r="M11" i="1"/>
  <c r="N11" i="1"/>
  <c r="O11" i="1"/>
  <c r="C11" i="1"/>
  <c r="D10" i="1"/>
  <c r="E10" i="1"/>
  <c r="F10" i="1"/>
  <c r="G10" i="1"/>
  <c r="H10" i="1"/>
  <c r="I10" i="1"/>
  <c r="J10" i="1"/>
  <c r="K10" i="1"/>
  <c r="L10" i="1"/>
  <c r="M10" i="1"/>
  <c r="N10" i="1"/>
  <c r="O10" i="1"/>
  <c r="C10" i="1"/>
  <c r="D9" i="1"/>
  <c r="E9" i="1"/>
  <c r="F9" i="1"/>
  <c r="G9" i="1"/>
  <c r="H9" i="1"/>
  <c r="I9" i="1"/>
  <c r="J9" i="1"/>
  <c r="K9" i="1"/>
  <c r="L9" i="1"/>
  <c r="C9" i="1"/>
  <c r="O7" i="3"/>
  <c r="N7" i="3"/>
  <c r="M7" i="3"/>
  <c r="L7" i="3"/>
  <c r="K7" i="3"/>
  <c r="H7" i="3"/>
  <c r="G7" i="3"/>
  <c r="E7" i="3"/>
  <c r="D7" i="3"/>
  <c r="O7" i="4"/>
  <c r="N7" i="4"/>
  <c r="M7" i="4"/>
  <c r="L7" i="4"/>
  <c r="K7" i="4"/>
  <c r="H7" i="4"/>
  <c r="G7" i="4"/>
  <c r="E7" i="4"/>
  <c r="D7" i="4"/>
  <c r="O7" i="5"/>
  <c r="N7" i="5"/>
  <c r="M7" i="5"/>
  <c r="L7" i="5"/>
  <c r="K7" i="5"/>
  <c r="H7" i="5"/>
  <c r="G7" i="5"/>
  <c r="E7" i="5"/>
  <c r="D7" i="5"/>
  <c r="O7" i="6"/>
  <c r="O73" i="6" s="1"/>
  <c r="N7" i="6"/>
  <c r="M7" i="6"/>
  <c r="M73" i="6" s="1"/>
  <c r="L7" i="6"/>
  <c r="K7" i="6"/>
  <c r="H7" i="6"/>
  <c r="G7" i="6"/>
  <c r="G73" i="6" s="1"/>
  <c r="E7" i="6"/>
  <c r="E73" i="6" s="1"/>
  <c r="D7" i="6"/>
  <c r="D73" i="6" s="1"/>
  <c r="E31" i="3"/>
  <c r="D31" i="3" s="1"/>
  <c r="C31" i="3" s="1"/>
  <c r="K30" i="3"/>
  <c r="H30" i="3"/>
  <c r="G30" i="3" s="1"/>
  <c r="E26" i="3"/>
  <c r="D26" i="3" s="1"/>
  <c r="C26" i="3" s="1"/>
  <c r="K25" i="3"/>
  <c r="H25" i="3"/>
  <c r="H15" i="3" s="1"/>
  <c r="H13" i="6" s="1"/>
  <c r="H96" i="7" s="1"/>
  <c r="H240" i="7" s="1"/>
  <c r="E25" i="3"/>
  <c r="D25" i="3" s="1"/>
  <c r="E21" i="3"/>
  <c r="D21" i="3"/>
  <c r="C21" i="3" s="1"/>
  <c r="K20" i="3"/>
  <c r="K14" i="3" s="1"/>
  <c r="K12" i="6" s="1"/>
  <c r="K53" i="7" s="1"/>
  <c r="H20" i="3"/>
  <c r="G20" i="3"/>
  <c r="E20" i="3" s="1"/>
  <c r="O16" i="3"/>
  <c r="N16" i="3"/>
  <c r="N14" i="6" s="1"/>
  <c r="N139" i="7" s="1"/>
  <c r="N249" i="7" s="1"/>
  <c r="M16" i="3"/>
  <c r="M14" i="6" s="1"/>
  <c r="M139" i="7" s="1"/>
  <c r="M249" i="7" s="1"/>
  <c r="L16" i="3"/>
  <c r="K16" i="3"/>
  <c r="K14" i="6" s="1"/>
  <c r="K139" i="7" s="1"/>
  <c r="K249" i="7" s="1"/>
  <c r="J16" i="3"/>
  <c r="I16" i="3"/>
  <c r="I14" i="6" s="1"/>
  <c r="I139" i="7" s="1"/>
  <c r="I249" i="7" s="1"/>
  <c r="O15" i="3"/>
  <c r="O13" i="6" s="1"/>
  <c r="O96" i="7" s="1"/>
  <c r="O240" i="7" s="1"/>
  <c r="N15" i="3"/>
  <c r="N13" i="6" s="1"/>
  <c r="N96" i="7" s="1"/>
  <c r="N240" i="7" s="1"/>
  <c r="M15" i="3"/>
  <c r="M13" i="6" s="1"/>
  <c r="M96" i="7" s="1"/>
  <c r="L15" i="3"/>
  <c r="K15" i="3"/>
  <c r="J15" i="3"/>
  <c r="I15" i="3"/>
  <c r="I13" i="6" s="1"/>
  <c r="I96" i="7" s="1"/>
  <c r="I240" i="7" s="1"/>
  <c r="G15" i="3"/>
  <c r="G13" i="6" s="1"/>
  <c r="G96" i="7" s="1"/>
  <c r="G240" i="7" s="1"/>
  <c r="F15" i="3"/>
  <c r="F13" i="6" s="1"/>
  <c r="F96" i="7" s="1"/>
  <c r="F240" i="7" s="1"/>
  <c r="E15" i="3"/>
  <c r="E13" i="6" s="1"/>
  <c r="E96" i="7" s="1"/>
  <c r="E240" i="7" s="1"/>
  <c r="O14" i="3"/>
  <c r="N14" i="3"/>
  <c r="N12" i="6" s="1"/>
  <c r="N53" i="7" s="1"/>
  <c r="M14" i="3"/>
  <c r="M12" i="6" s="1"/>
  <c r="M53" i="7" s="1"/>
  <c r="L14" i="3"/>
  <c r="L12" i="6" s="1"/>
  <c r="L53" i="7" s="1"/>
  <c r="J14" i="3"/>
  <c r="J12" i="6" s="1"/>
  <c r="J53" i="7" s="1"/>
  <c r="I14" i="3"/>
  <c r="I12" i="6" s="1"/>
  <c r="I53" i="7" s="1"/>
  <c r="H14" i="3"/>
  <c r="H12" i="6" s="1"/>
  <c r="H53" i="7" s="1"/>
  <c r="F14" i="3"/>
  <c r="F12" i="6" s="1"/>
  <c r="F53" i="7" s="1"/>
  <c r="L11" i="3"/>
  <c r="K11" i="3"/>
  <c r="C48" i="4"/>
  <c r="D48" i="4" s="1"/>
  <c r="E48" i="4" s="1"/>
  <c r="L44" i="4"/>
  <c r="L47" i="4" s="1"/>
  <c r="K44" i="4"/>
  <c r="K47" i="4" s="1"/>
  <c r="J44" i="4"/>
  <c r="J47" i="4" s="1"/>
  <c r="I44" i="4"/>
  <c r="H44" i="4"/>
  <c r="G44" i="4"/>
  <c r="G47" i="4" s="1"/>
  <c r="F44" i="4"/>
  <c r="E44" i="4"/>
  <c r="D44" i="4"/>
  <c r="D47" i="4" s="1"/>
  <c r="D51" i="4" s="1"/>
  <c r="D54" i="4" s="1"/>
  <c r="C44" i="4"/>
  <c r="C47" i="4" s="1"/>
  <c r="C51" i="4" s="1"/>
  <c r="C54" i="4" s="1"/>
  <c r="L43" i="4"/>
  <c r="L46" i="4" s="1"/>
  <c r="K43" i="4"/>
  <c r="J43" i="4"/>
  <c r="J46" i="4" s="1"/>
  <c r="I43" i="4"/>
  <c r="H43" i="4"/>
  <c r="G43" i="4"/>
  <c r="G46" i="4" s="1"/>
  <c r="F43" i="4"/>
  <c r="E43" i="4"/>
  <c r="E46" i="4" s="1"/>
  <c r="E50" i="4" s="1"/>
  <c r="E53" i="4" s="1"/>
  <c r="D43" i="4"/>
  <c r="D46" i="4" s="1"/>
  <c r="D50" i="4" s="1"/>
  <c r="D53" i="4" s="1"/>
  <c r="C43" i="4"/>
  <c r="L42" i="4"/>
  <c r="L45" i="4" s="1"/>
  <c r="K42" i="4"/>
  <c r="K45" i="4" s="1"/>
  <c r="J42" i="4"/>
  <c r="I42" i="4"/>
  <c r="H42" i="4"/>
  <c r="G42" i="4"/>
  <c r="G45" i="4" s="1"/>
  <c r="F42" i="4"/>
  <c r="F45" i="4" s="1"/>
  <c r="E42" i="4"/>
  <c r="D42" i="4"/>
  <c r="D45" i="4" s="1"/>
  <c r="D49" i="4" s="1"/>
  <c r="D52" i="4" s="1"/>
  <c r="C42" i="4"/>
  <c r="C45" i="4" s="1"/>
  <c r="C49" i="4" s="1"/>
  <c r="C52" i="4" s="1"/>
  <c r="L41" i="4"/>
  <c r="K41" i="4"/>
  <c r="J41" i="4"/>
  <c r="I41" i="4"/>
  <c r="H41" i="4"/>
  <c r="G41" i="4"/>
  <c r="F41" i="4"/>
  <c r="E41" i="4"/>
  <c r="D41" i="4"/>
  <c r="C41" i="4"/>
  <c r="O36" i="4"/>
  <c r="N36" i="4"/>
  <c r="M36" i="4"/>
  <c r="L36" i="4"/>
  <c r="K36" i="4"/>
  <c r="O35" i="4"/>
  <c r="O16" i="1" s="1"/>
  <c r="N35" i="4"/>
  <c r="N16" i="1" s="1"/>
  <c r="M35" i="4"/>
  <c r="M16" i="1" s="1"/>
  <c r="L35" i="4"/>
  <c r="L22" i="7" s="1"/>
  <c r="L23" i="7" s="1"/>
  <c r="K35" i="4"/>
  <c r="J35" i="4"/>
  <c r="J22" i="7" s="1"/>
  <c r="I35" i="4"/>
  <c r="I22" i="7" s="1"/>
  <c r="H35" i="4"/>
  <c r="H16" i="1" s="1"/>
  <c r="G35" i="4"/>
  <c r="G16" i="1" s="1"/>
  <c r="F35" i="4"/>
  <c r="F16" i="1" s="1"/>
  <c r="E35" i="4"/>
  <c r="E16" i="1" s="1"/>
  <c r="D35" i="4"/>
  <c r="D22" i="7" s="1"/>
  <c r="D23" i="7" s="1"/>
  <c r="C35" i="4"/>
  <c r="C16" i="1" s="1"/>
  <c r="M28" i="4"/>
  <c r="D28" i="4"/>
  <c r="E28" i="4" s="1"/>
  <c r="M26" i="4"/>
  <c r="D26" i="4"/>
  <c r="E26" i="4" s="1"/>
  <c r="D25" i="4"/>
  <c r="D25" i="5" s="1"/>
  <c r="O24" i="4"/>
  <c r="O33" i="4" s="1"/>
  <c r="O19" i="7" s="1"/>
  <c r="O30" i="7" s="1"/>
  <c r="N24" i="4"/>
  <c r="N33" i="4" s="1"/>
  <c r="N13" i="1" s="1"/>
  <c r="M24" i="4"/>
  <c r="M33" i="4" s="1"/>
  <c r="M19" i="7" s="1"/>
  <c r="M30" i="7" s="1"/>
  <c r="L24" i="4"/>
  <c r="L33" i="4" s="1"/>
  <c r="L19" i="7" s="1"/>
  <c r="L30" i="7" s="1"/>
  <c r="K24" i="4"/>
  <c r="K33" i="4" s="1"/>
  <c r="K19" i="7" s="1"/>
  <c r="K30" i="7" s="1"/>
  <c r="J24" i="4"/>
  <c r="J33" i="4" s="1"/>
  <c r="J19" i="7" s="1"/>
  <c r="J30" i="7" s="1"/>
  <c r="I24" i="4"/>
  <c r="I33" i="4" s="1"/>
  <c r="I19" i="7" s="1"/>
  <c r="I30" i="7" s="1"/>
  <c r="H24" i="4"/>
  <c r="H33" i="4" s="1"/>
  <c r="H13" i="1" s="1"/>
  <c r="G24" i="4"/>
  <c r="G33" i="4" s="1"/>
  <c r="G19" i="7" s="1"/>
  <c r="G30" i="7" s="1"/>
  <c r="F24" i="4"/>
  <c r="F33" i="4" s="1"/>
  <c r="F13" i="1" s="1"/>
  <c r="E24" i="4"/>
  <c r="E33" i="4" s="1"/>
  <c r="E19" i="7" s="1"/>
  <c r="E30" i="7" s="1"/>
  <c r="D24" i="4"/>
  <c r="C24" i="4"/>
  <c r="C33" i="4" s="1"/>
  <c r="C38" i="4" s="1"/>
  <c r="C39" i="4" s="1"/>
  <c r="D23" i="4"/>
  <c r="D29" i="7" s="1"/>
  <c r="C23" i="4"/>
  <c r="C29" i="7" s="1"/>
  <c r="C22" i="4"/>
  <c r="C34" i="4" s="1"/>
  <c r="O21" i="4"/>
  <c r="O21" i="5" s="1"/>
  <c r="O41" i="5" s="1"/>
  <c r="M17" i="4"/>
  <c r="D17" i="4"/>
  <c r="E17" i="4" s="1"/>
  <c r="N15" i="4"/>
  <c r="O15" i="4" s="1"/>
  <c r="N14" i="4"/>
  <c r="N44" i="4" s="1"/>
  <c r="M14" i="4"/>
  <c r="M43" i="4" s="1"/>
  <c r="N13" i="4"/>
  <c r="O13" i="4" s="1"/>
  <c r="M13" i="4"/>
  <c r="N12" i="4"/>
  <c r="O12" i="4" s="1"/>
  <c r="M12" i="4"/>
  <c r="N11" i="4"/>
  <c r="M11" i="4"/>
  <c r="M9" i="1" s="1"/>
  <c r="C48" i="5"/>
  <c r="D48" i="5" s="1"/>
  <c r="E48" i="5" s="1"/>
  <c r="O44" i="5"/>
  <c r="N44" i="5"/>
  <c r="M44" i="5"/>
  <c r="L44" i="5"/>
  <c r="K44" i="5"/>
  <c r="J44" i="5"/>
  <c r="I44" i="5"/>
  <c r="H44" i="5"/>
  <c r="G44" i="5"/>
  <c r="F44" i="5"/>
  <c r="E44" i="5"/>
  <c r="C44" i="5"/>
  <c r="O43" i="5"/>
  <c r="N43" i="5"/>
  <c r="M43" i="5"/>
  <c r="L43" i="5"/>
  <c r="K43" i="5"/>
  <c r="J43" i="5"/>
  <c r="I43" i="5"/>
  <c r="H43" i="5"/>
  <c r="G43" i="5"/>
  <c r="F43" i="5"/>
  <c r="E43" i="5"/>
  <c r="C43" i="5"/>
  <c r="O42" i="5"/>
  <c r="N42" i="5"/>
  <c r="M42" i="5"/>
  <c r="L42" i="5"/>
  <c r="K42" i="5"/>
  <c r="J42" i="5"/>
  <c r="I42" i="5"/>
  <c r="H42" i="5"/>
  <c r="G42" i="5"/>
  <c r="F42" i="5"/>
  <c r="E42" i="5"/>
  <c r="C42" i="5"/>
  <c r="O36" i="5"/>
  <c r="N36" i="5"/>
  <c r="M36" i="5"/>
  <c r="O35" i="5"/>
  <c r="N35" i="5"/>
  <c r="M35" i="5"/>
  <c r="L35" i="5"/>
  <c r="L72" i="6" s="1"/>
  <c r="L56" i="1" s="1"/>
  <c r="K35" i="5"/>
  <c r="K72" i="6" s="1"/>
  <c r="K56" i="1" s="1"/>
  <c r="J35" i="5"/>
  <c r="J72" i="6" s="1"/>
  <c r="J56" i="1" s="1"/>
  <c r="I35" i="5"/>
  <c r="I72" i="6" s="1"/>
  <c r="I56" i="1" s="1"/>
  <c r="H35" i="5"/>
  <c r="H72" i="6" s="1"/>
  <c r="H56" i="1" s="1"/>
  <c r="G35" i="5"/>
  <c r="F35" i="5"/>
  <c r="E35" i="5"/>
  <c r="C35" i="5"/>
  <c r="C72" i="6" s="1"/>
  <c r="C56" i="1" s="1"/>
  <c r="C66" i="7" s="1"/>
  <c r="C67" i="7" s="1"/>
  <c r="D31" i="5"/>
  <c r="D44" i="5" s="1"/>
  <c r="M28" i="5"/>
  <c r="M61" i="6" s="1"/>
  <c r="M59" i="7" s="1"/>
  <c r="M102" i="7" s="1"/>
  <c r="M145" i="7" s="1"/>
  <c r="M191" i="7" s="1"/>
  <c r="D28" i="5"/>
  <c r="E28" i="5" s="1"/>
  <c r="E61" i="6" s="1"/>
  <c r="E59" i="7" s="1"/>
  <c r="E102" i="7" s="1"/>
  <c r="E145" i="7" s="1"/>
  <c r="E191" i="7" s="1"/>
  <c r="M26" i="5"/>
  <c r="M62" i="6" s="1"/>
  <c r="D26" i="5"/>
  <c r="E26" i="5" s="1"/>
  <c r="E62" i="6" s="1"/>
  <c r="O24" i="5"/>
  <c r="O33" i="5" s="1"/>
  <c r="N24" i="5"/>
  <c r="N33" i="5" s="1"/>
  <c r="M24" i="5"/>
  <c r="M33" i="5" s="1"/>
  <c r="L24" i="5"/>
  <c r="L33" i="5" s="1"/>
  <c r="K24" i="5"/>
  <c r="J24" i="5"/>
  <c r="I24" i="5"/>
  <c r="I33" i="5" s="1"/>
  <c r="H24" i="5"/>
  <c r="H33" i="5" s="1"/>
  <c r="G24" i="5"/>
  <c r="G33" i="5" s="1"/>
  <c r="F24" i="5"/>
  <c r="F33" i="5" s="1"/>
  <c r="E24" i="5"/>
  <c r="E33" i="5" s="1"/>
  <c r="D24" i="5"/>
  <c r="D33" i="5" s="1"/>
  <c r="C24" i="5"/>
  <c r="C59" i="6" s="1"/>
  <c r="C69" i="6" s="1"/>
  <c r="C52" i="1" s="1"/>
  <c r="C63" i="7" s="1"/>
  <c r="N41" i="5"/>
  <c r="M41" i="5"/>
  <c r="L41" i="5"/>
  <c r="J41" i="5"/>
  <c r="I41" i="5"/>
  <c r="H41" i="5"/>
  <c r="G41" i="5"/>
  <c r="F41" i="5"/>
  <c r="E41" i="5"/>
  <c r="D41" i="5"/>
  <c r="C41" i="5"/>
  <c r="O17" i="5"/>
  <c r="N17" i="5"/>
  <c r="M17" i="5"/>
  <c r="O12" i="5"/>
  <c r="N12" i="5"/>
  <c r="M12" i="5"/>
  <c r="O107" i="6"/>
  <c r="O69" i="7" s="1"/>
  <c r="O112" i="7" s="1"/>
  <c r="O155" i="7" s="1"/>
  <c r="O192" i="7" s="1"/>
  <c r="D107" i="6"/>
  <c r="D106" i="6"/>
  <c r="E106" i="6" s="1"/>
  <c r="G106" i="6" s="1"/>
  <c r="I106" i="6" s="1"/>
  <c r="K106" i="6" s="1"/>
  <c r="M106" i="6" s="1"/>
  <c r="N106" i="6" s="1"/>
  <c r="O106" i="6" s="1"/>
  <c r="O92" i="6"/>
  <c r="O73" i="1" s="1"/>
  <c r="N92" i="6"/>
  <c r="N73" i="1" s="1"/>
  <c r="M92" i="6"/>
  <c r="M73" i="1" s="1"/>
  <c r="L92" i="6"/>
  <c r="L73" i="1" s="1"/>
  <c r="K92" i="6"/>
  <c r="K73" i="1" s="1"/>
  <c r="J92" i="6"/>
  <c r="J73" i="1" s="1"/>
  <c r="I92" i="6"/>
  <c r="I73" i="1" s="1"/>
  <c r="H92" i="6"/>
  <c r="H73" i="1" s="1"/>
  <c r="G92" i="6"/>
  <c r="G73" i="1" s="1"/>
  <c r="F92" i="6"/>
  <c r="F73" i="1" s="1"/>
  <c r="E92" i="6"/>
  <c r="E73" i="1" s="1"/>
  <c r="C92" i="6"/>
  <c r="C73" i="1" s="1"/>
  <c r="N91" i="6"/>
  <c r="N72" i="1" s="1"/>
  <c r="G91" i="6"/>
  <c r="G72" i="1" s="1"/>
  <c r="D91" i="6"/>
  <c r="D72" i="1" s="1"/>
  <c r="N89" i="6"/>
  <c r="N71" i="1" s="1"/>
  <c r="E89" i="6"/>
  <c r="E71" i="1" s="1"/>
  <c r="O88" i="6"/>
  <c r="N88" i="6"/>
  <c r="M88" i="6"/>
  <c r="L88" i="6"/>
  <c r="K88" i="6"/>
  <c r="J88" i="6"/>
  <c r="I88" i="6"/>
  <c r="H88" i="6"/>
  <c r="G88" i="6"/>
  <c r="F88" i="6"/>
  <c r="E88" i="6"/>
  <c r="D88" i="6"/>
  <c r="C88" i="6"/>
  <c r="O87" i="6"/>
  <c r="O28" i="1" s="1"/>
  <c r="N87" i="6"/>
  <c r="N28" i="1" s="1"/>
  <c r="M87" i="6"/>
  <c r="M28" i="1" s="1"/>
  <c r="L87" i="6"/>
  <c r="L28" i="1" s="1"/>
  <c r="K87" i="6"/>
  <c r="K28" i="1" s="1"/>
  <c r="J87" i="6"/>
  <c r="J28" i="1" s="1"/>
  <c r="I87" i="6"/>
  <c r="I28" i="1" s="1"/>
  <c r="H87" i="6"/>
  <c r="H28" i="1" s="1"/>
  <c r="G87" i="6"/>
  <c r="G28" i="1" s="1"/>
  <c r="F87" i="6"/>
  <c r="F28" i="1" s="1"/>
  <c r="E87" i="6"/>
  <c r="E28" i="1" s="1"/>
  <c r="D87" i="6"/>
  <c r="D28" i="1" s="1"/>
  <c r="C87" i="6"/>
  <c r="C28" i="1" s="1"/>
  <c r="O81" i="6"/>
  <c r="N81" i="6"/>
  <c r="C81" i="6"/>
  <c r="O80" i="6"/>
  <c r="N80" i="6"/>
  <c r="C80" i="6"/>
  <c r="D79" i="6"/>
  <c r="D78" i="6"/>
  <c r="D77" i="6"/>
  <c r="E77" i="6" s="1"/>
  <c r="D76" i="6"/>
  <c r="E76" i="6" s="1"/>
  <c r="F76" i="6" s="1"/>
  <c r="H76" i="6" s="1"/>
  <c r="J76" i="6" s="1"/>
  <c r="D75" i="6"/>
  <c r="D63" i="1" s="1"/>
  <c r="J73" i="6"/>
  <c r="I73" i="6"/>
  <c r="F73" i="6"/>
  <c r="C73" i="6"/>
  <c r="K49" i="1"/>
  <c r="K61" i="7" s="1"/>
  <c r="K104" i="7" s="1"/>
  <c r="K147" i="7" s="1"/>
  <c r="C49" i="1"/>
  <c r="C61" i="7" s="1"/>
  <c r="O48" i="1"/>
  <c r="N48" i="1"/>
  <c r="M48" i="1"/>
  <c r="L48" i="1"/>
  <c r="K48" i="1"/>
  <c r="I48" i="1"/>
  <c r="G48" i="1"/>
  <c r="F48" i="1"/>
  <c r="E48" i="1"/>
  <c r="D48" i="1"/>
  <c r="O48" i="6"/>
  <c r="N48" i="6"/>
  <c r="M48" i="6"/>
  <c r="L48" i="6"/>
  <c r="K48" i="6"/>
  <c r="J48" i="6"/>
  <c r="I48" i="6"/>
  <c r="H48" i="6"/>
  <c r="G48" i="6"/>
  <c r="F48" i="6"/>
  <c r="E48" i="6"/>
  <c r="D48" i="6"/>
  <c r="O47" i="6"/>
  <c r="N47" i="6"/>
  <c r="M47" i="6"/>
  <c r="L47" i="6"/>
  <c r="K47" i="6"/>
  <c r="J47" i="6"/>
  <c r="I47" i="6"/>
  <c r="H47" i="6"/>
  <c r="G47" i="6"/>
  <c r="F47" i="6"/>
  <c r="E47" i="6"/>
  <c r="D47" i="6"/>
  <c r="O46" i="6"/>
  <c r="O58" i="7" s="1"/>
  <c r="O101" i="7" s="1"/>
  <c r="O144" i="7" s="1"/>
  <c r="N46" i="6"/>
  <c r="N58" i="7" s="1"/>
  <c r="N101" i="7" s="1"/>
  <c r="N144" i="7" s="1"/>
  <c r="M46" i="6"/>
  <c r="M58" i="7" s="1"/>
  <c r="M101" i="7" s="1"/>
  <c r="M144" i="7" s="1"/>
  <c r="L46" i="6"/>
  <c r="L58" i="7" s="1"/>
  <c r="L101" i="7" s="1"/>
  <c r="L144" i="7" s="1"/>
  <c r="K46" i="6"/>
  <c r="K58" i="7" s="1"/>
  <c r="K101" i="7" s="1"/>
  <c r="K144" i="7" s="1"/>
  <c r="K190" i="7" s="1"/>
  <c r="J46" i="6"/>
  <c r="J58" i="7" s="1"/>
  <c r="J101" i="7" s="1"/>
  <c r="J144" i="7" s="1"/>
  <c r="J190" i="7" s="1"/>
  <c r="I46" i="6"/>
  <c r="I58" i="7" s="1"/>
  <c r="I101" i="7" s="1"/>
  <c r="I144" i="7" s="1"/>
  <c r="H46" i="6"/>
  <c r="H58" i="7" s="1"/>
  <c r="H101" i="7" s="1"/>
  <c r="H144" i="7" s="1"/>
  <c r="G46" i="6"/>
  <c r="G58" i="7" s="1"/>
  <c r="G101" i="7" s="1"/>
  <c r="G144" i="7" s="1"/>
  <c r="F46" i="6"/>
  <c r="F58" i="7" s="1"/>
  <c r="F101" i="7" s="1"/>
  <c r="F144" i="7" s="1"/>
  <c r="E46" i="6"/>
  <c r="E58" i="7" s="1"/>
  <c r="E101" i="7" s="1"/>
  <c r="E144" i="7" s="1"/>
  <c r="D46" i="6"/>
  <c r="D58" i="7" s="1"/>
  <c r="D101" i="7" s="1"/>
  <c r="D144" i="7" s="1"/>
  <c r="O45" i="6"/>
  <c r="N45" i="6"/>
  <c r="M45" i="6"/>
  <c r="L45" i="6"/>
  <c r="K45" i="6"/>
  <c r="J45" i="6"/>
  <c r="I45" i="6"/>
  <c r="H45" i="6"/>
  <c r="G45" i="6"/>
  <c r="F45" i="6"/>
  <c r="E45" i="6"/>
  <c r="D45" i="6"/>
  <c r="O44" i="6"/>
  <c r="N44" i="6"/>
  <c r="M44" i="6"/>
  <c r="L44" i="6"/>
  <c r="K44" i="6"/>
  <c r="J44" i="6"/>
  <c r="I44" i="6"/>
  <c r="H44" i="6"/>
  <c r="G44" i="6"/>
  <c r="F44" i="6"/>
  <c r="E44" i="6"/>
  <c r="D44" i="6"/>
  <c r="O43" i="6"/>
  <c r="N43" i="6"/>
  <c r="M43" i="6"/>
  <c r="L43" i="6"/>
  <c r="K43" i="6"/>
  <c r="J43" i="6"/>
  <c r="I43" i="6"/>
  <c r="H43" i="6"/>
  <c r="G43" i="6"/>
  <c r="F43" i="6"/>
  <c r="E43" i="6"/>
  <c r="D43" i="6"/>
  <c r="O36" i="6"/>
  <c r="N36" i="6"/>
  <c r="F36" i="6"/>
  <c r="E36" i="6"/>
  <c r="D36" i="6"/>
  <c r="C36" i="6"/>
  <c r="L35" i="6"/>
  <c r="M35" i="6" s="1"/>
  <c r="M36" i="6" s="1"/>
  <c r="O33" i="6"/>
  <c r="N33" i="6"/>
  <c r="M33" i="6"/>
  <c r="K33" i="6"/>
  <c r="J33" i="6"/>
  <c r="H33" i="6"/>
  <c r="G33" i="6"/>
  <c r="G16" i="6" s="1"/>
  <c r="G10" i="7" s="1"/>
  <c r="G12" i="7" s="1"/>
  <c r="G25" i="1" s="1"/>
  <c r="F33" i="6"/>
  <c r="E33" i="6"/>
  <c r="D33" i="6"/>
  <c r="C33" i="6"/>
  <c r="K32" i="6"/>
  <c r="L16" i="6"/>
  <c r="L10" i="7" s="1"/>
  <c r="K16" i="6"/>
  <c r="K10" i="7" s="1"/>
  <c r="K12" i="7" s="1"/>
  <c r="K25" i="1" s="1"/>
  <c r="J16" i="6"/>
  <c r="J10" i="7" s="1"/>
  <c r="I16" i="6"/>
  <c r="I10" i="7" s="1"/>
  <c r="I12" i="7" s="1"/>
  <c r="I25" i="1" s="1"/>
  <c r="H16" i="6"/>
  <c r="H10" i="7" s="1"/>
  <c r="N73" i="6"/>
  <c r="L73" i="6"/>
  <c r="K73" i="6"/>
  <c r="H73" i="6"/>
  <c r="O265" i="7"/>
  <c r="N265" i="7"/>
  <c r="M265" i="7"/>
  <c r="L265" i="7"/>
  <c r="K265" i="7"/>
  <c r="H265" i="7"/>
  <c r="G265" i="7"/>
  <c r="E265" i="7"/>
  <c r="D265" i="7"/>
  <c r="O229" i="7"/>
  <c r="N229" i="7"/>
  <c r="M229" i="7"/>
  <c r="L229" i="7"/>
  <c r="K229" i="7"/>
  <c r="H229" i="7"/>
  <c r="G229" i="7"/>
  <c r="E229" i="7"/>
  <c r="D229" i="7"/>
  <c r="O179" i="7"/>
  <c r="N179" i="7"/>
  <c r="M179" i="7"/>
  <c r="L179" i="7"/>
  <c r="K179" i="7"/>
  <c r="H179" i="7"/>
  <c r="G179" i="7"/>
  <c r="E179" i="7"/>
  <c r="D179" i="7"/>
  <c r="O249" i="7"/>
  <c r="L249" i="7"/>
  <c r="F249" i="7"/>
  <c r="O136" i="7"/>
  <c r="N136" i="7"/>
  <c r="M136" i="7"/>
  <c r="L136" i="7"/>
  <c r="K136" i="7"/>
  <c r="H136" i="7"/>
  <c r="G136" i="7"/>
  <c r="E136" i="7"/>
  <c r="D136" i="7"/>
  <c r="M240" i="7"/>
  <c r="L240" i="7"/>
  <c r="J240" i="7"/>
  <c r="O93" i="7"/>
  <c r="N93" i="7"/>
  <c r="M93" i="7"/>
  <c r="L93" i="7"/>
  <c r="K93" i="7"/>
  <c r="H93" i="7"/>
  <c r="G93" i="7"/>
  <c r="E93" i="7"/>
  <c r="D93" i="7"/>
  <c r="O193" i="7"/>
  <c r="M193" i="7"/>
  <c r="K193" i="7"/>
  <c r="J193" i="7"/>
  <c r="I193" i="7"/>
  <c r="H193" i="7"/>
  <c r="F193" i="7"/>
  <c r="E193" i="7"/>
  <c r="D193" i="7"/>
  <c r="C114" i="7"/>
  <c r="C157" i="7" s="1"/>
  <c r="C193" i="7" s="1"/>
  <c r="N192" i="7"/>
  <c r="M192" i="7"/>
  <c r="L192" i="7"/>
  <c r="K192" i="7"/>
  <c r="C112" i="7"/>
  <c r="C155" i="7" s="1"/>
  <c r="C192" i="7" s="1"/>
  <c r="C104" i="7"/>
  <c r="C147" i="7" s="1"/>
  <c r="L191" i="7"/>
  <c r="O190" i="7"/>
  <c r="N190" i="7"/>
  <c r="M190" i="7"/>
  <c r="L190" i="7"/>
  <c r="I190" i="7"/>
  <c r="H190" i="7"/>
  <c r="G190" i="7"/>
  <c r="F190" i="7"/>
  <c r="E190" i="7"/>
  <c r="D190" i="7"/>
  <c r="C101" i="7"/>
  <c r="C144" i="7" s="1"/>
  <c r="C190" i="7" s="1"/>
  <c r="C98" i="7"/>
  <c r="C141" i="7" s="1"/>
  <c r="O50" i="7"/>
  <c r="N50" i="7"/>
  <c r="M50" i="7"/>
  <c r="L50" i="7"/>
  <c r="K50" i="7"/>
  <c r="H50" i="7"/>
  <c r="G50" i="7"/>
  <c r="E50" i="7"/>
  <c r="D50" i="7"/>
  <c r="M25" i="1"/>
  <c r="E25" i="1"/>
  <c r="D25" i="1"/>
  <c r="O6" i="7"/>
  <c r="N6" i="7"/>
  <c r="M6" i="7"/>
  <c r="L6" i="7"/>
  <c r="K6" i="7"/>
  <c r="H6" i="7"/>
  <c r="G6" i="7"/>
  <c r="E6" i="7"/>
  <c r="D6" i="7"/>
  <c r="J33" i="5" l="1"/>
  <c r="J59" i="6"/>
  <c r="J69" i="6" s="1"/>
  <c r="J52" i="1" s="1"/>
  <c r="J63" i="7" s="1"/>
  <c r="O11" i="4"/>
  <c r="O9" i="1" s="1"/>
  <c r="N9" i="1"/>
  <c r="E13" i="1"/>
  <c r="K33" i="5"/>
  <c r="K59" i="6"/>
  <c r="O12" i="7"/>
  <c r="O25" i="1" s="1"/>
  <c r="D33" i="4"/>
  <c r="D22" i="4"/>
  <c r="D34" i="4" s="1"/>
  <c r="D61" i="6"/>
  <c r="D59" i="7" s="1"/>
  <c r="D102" i="7" s="1"/>
  <c r="D145" i="7" s="1"/>
  <c r="D191" i="7" s="1"/>
  <c r="K22" i="7"/>
  <c r="K23" i="7" s="1"/>
  <c r="K16" i="1"/>
  <c r="D60" i="6"/>
  <c r="D31" i="7" s="1"/>
  <c r="D75" i="7"/>
  <c r="D118" i="7" s="1"/>
  <c r="D161" i="7" s="1"/>
  <c r="C33" i="5"/>
  <c r="C22" i="5"/>
  <c r="C34" i="5" s="1"/>
  <c r="M13" i="1"/>
  <c r="D13" i="7"/>
  <c r="D15" i="1" s="1"/>
  <c r="C22" i="7"/>
  <c r="C23" i="7" s="1"/>
  <c r="H47" i="4"/>
  <c r="L16" i="1"/>
  <c r="D16" i="1"/>
  <c r="N13" i="7"/>
  <c r="F13" i="7"/>
  <c r="H22" i="7"/>
  <c r="H23" i="7" s="1"/>
  <c r="E45" i="4"/>
  <c r="E49" i="4" s="1"/>
  <c r="E52" i="4" s="1"/>
  <c r="C46" i="4"/>
  <c r="C50" i="4" s="1"/>
  <c r="C53" i="4" s="1"/>
  <c r="K46" i="4"/>
  <c r="I47" i="4"/>
  <c r="G14" i="3"/>
  <c r="G12" i="6" s="1"/>
  <c r="G53" i="7" s="1"/>
  <c r="E13" i="7"/>
  <c r="C19" i="7"/>
  <c r="C30" i="7" s="1"/>
  <c r="O22" i="7"/>
  <c r="O23" i="7" s="1"/>
  <c r="G22" i="7"/>
  <c r="G23" i="7" s="1"/>
  <c r="M59" i="6"/>
  <c r="E59" i="6"/>
  <c r="I45" i="4"/>
  <c r="E47" i="4"/>
  <c r="E51" i="4" s="1"/>
  <c r="E54" i="4" s="1"/>
  <c r="H16" i="3"/>
  <c r="H14" i="6" s="1"/>
  <c r="H139" i="7" s="1"/>
  <c r="H249" i="7" s="1"/>
  <c r="J13" i="1"/>
  <c r="I59" i="6"/>
  <c r="I69" i="6" s="1"/>
  <c r="I52" i="1" s="1"/>
  <c r="I63" i="7" s="1"/>
  <c r="D66" i="6"/>
  <c r="D49" i="1" s="1"/>
  <c r="D61" i="7" s="1"/>
  <c r="D104" i="7" s="1"/>
  <c r="D147" i="7" s="1"/>
  <c r="F46" i="4"/>
  <c r="F50" i="4" s="1"/>
  <c r="F53" i="4" s="1"/>
  <c r="J45" i="4"/>
  <c r="H46" i="4"/>
  <c r="F47" i="4"/>
  <c r="I13" i="1"/>
  <c r="D62" i="6"/>
  <c r="H59" i="6"/>
  <c r="H69" i="6" s="1"/>
  <c r="H52" i="1" s="1"/>
  <c r="H63" i="7" s="1"/>
  <c r="H68" i="7" s="1"/>
  <c r="H45" i="4"/>
  <c r="D22" i="5"/>
  <c r="D34" i="5" s="1"/>
  <c r="I46" i="4"/>
  <c r="O59" i="6"/>
  <c r="G59" i="6"/>
  <c r="G69" i="6" s="1"/>
  <c r="G52" i="1" s="1"/>
  <c r="G63" i="7" s="1"/>
  <c r="H12" i="7"/>
  <c r="H25" i="1" s="1"/>
  <c r="J12" i="7"/>
  <c r="J25" i="1" s="1"/>
  <c r="L12" i="7"/>
  <c r="L25" i="1" s="1"/>
  <c r="C57" i="6"/>
  <c r="C71" i="6" s="1"/>
  <c r="C54" i="1" s="1"/>
  <c r="C65" i="7" s="1"/>
  <c r="C108" i="7" s="1"/>
  <c r="C151" i="7" s="1"/>
  <c r="D57" i="6"/>
  <c r="M69" i="6"/>
  <c r="M52" i="1" s="1"/>
  <c r="M63" i="7" s="1"/>
  <c r="M106" i="7" s="1"/>
  <c r="M111" i="7" s="1"/>
  <c r="K69" i="6"/>
  <c r="K52" i="1" s="1"/>
  <c r="K63" i="7" s="1"/>
  <c r="E69" i="6"/>
  <c r="E52" i="1" s="1"/>
  <c r="E63" i="7" s="1"/>
  <c r="D32" i="7"/>
  <c r="J13" i="7"/>
  <c r="O13" i="7"/>
  <c r="O15" i="1" s="1"/>
  <c r="O24" i="7"/>
  <c r="M13" i="7"/>
  <c r="M24" i="7"/>
  <c r="M26" i="7" s="1"/>
  <c r="M28" i="7" s="1"/>
  <c r="K13" i="7"/>
  <c r="K24" i="7"/>
  <c r="I13" i="7"/>
  <c r="I15" i="1" s="1"/>
  <c r="G13" i="7"/>
  <c r="D54" i="7"/>
  <c r="F54" i="7"/>
  <c r="H54" i="7"/>
  <c r="K54" i="7"/>
  <c r="N54" i="7"/>
  <c r="E106" i="7"/>
  <c r="E111" i="7" s="1"/>
  <c r="K106" i="7"/>
  <c r="K111" i="7" s="1"/>
  <c r="E50" i="1"/>
  <c r="E62" i="7" s="1"/>
  <c r="E105" i="7" s="1"/>
  <c r="E148" i="7" s="1"/>
  <c r="G50" i="1"/>
  <c r="G62" i="7" s="1"/>
  <c r="G105" i="7" s="1"/>
  <c r="G148" i="7" s="1"/>
  <c r="I50" i="1"/>
  <c r="I62" i="7" s="1"/>
  <c r="I105" i="7" s="1"/>
  <c r="I148" i="7" s="1"/>
  <c r="K50" i="1"/>
  <c r="K62" i="7" s="1"/>
  <c r="K105" i="7" s="1"/>
  <c r="K148" i="7" s="1"/>
  <c r="M50" i="1"/>
  <c r="M62" i="7" s="1"/>
  <c r="M105" i="7" s="1"/>
  <c r="M148" i="7" s="1"/>
  <c r="O50" i="1"/>
  <c r="O62" i="7" s="1"/>
  <c r="O105" i="7" s="1"/>
  <c r="O148" i="7" s="1"/>
  <c r="F66" i="7"/>
  <c r="F67" i="7" s="1"/>
  <c r="F58" i="1"/>
  <c r="H66" i="7"/>
  <c r="H67" i="7" s="1"/>
  <c r="H58" i="1"/>
  <c r="J66" i="7"/>
  <c r="J67" i="7" s="1"/>
  <c r="J58" i="1"/>
  <c r="L66" i="7"/>
  <c r="L67" i="7" s="1"/>
  <c r="L58" i="1"/>
  <c r="N66" i="7"/>
  <c r="N67" i="7" s="1"/>
  <c r="N58" i="1"/>
  <c r="E79" i="6"/>
  <c r="F79" i="6" s="1"/>
  <c r="D64" i="1"/>
  <c r="C93" i="6"/>
  <c r="C68" i="1" s="1"/>
  <c r="C69" i="1"/>
  <c r="E93" i="6"/>
  <c r="E68" i="1" s="1"/>
  <c r="E69" i="1"/>
  <c r="G93" i="6"/>
  <c r="G68" i="1" s="1"/>
  <c r="G69" i="1"/>
  <c r="I93" i="6"/>
  <c r="I68" i="1" s="1"/>
  <c r="I69" i="1"/>
  <c r="K93" i="6"/>
  <c r="K68" i="1" s="1"/>
  <c r="K69" i="1"/>
  <c r="M93" i="6"/>
  <c r="M68" i="1" s="1"/>
  <c r="M69" i="1"/>
  <c r="O93" i="6"/>
  <c r="O68" i="1" s="1"/>
  <c r="O69" i="1"/>
  <c r="E107" i="6"/>
  <c r="D69" i="7"/>
  <c r="D112" i="7" s="1"/>
  <c r="D155" i="7" s="1"/>
  <c r="D192" i="7" s="1"/>
  <c r="K68" i="7"/>
  <c r="F106" i="6"/>
  <c r="H106" i="6" s="1"/>
  <c r="J106" i="6" s="1"/>
  <c r="L106" i="6" s="1"/>
  <c r="D24" i="1"/>
  <c r="D23" i="1"/>
  <c r="O25" i="7"/>
  <c r="I24" i="7"/>
  <c r="G24" i="7"/>
  <c r="E24" i="7"/>
  <c r="M15" i="7"/>
  <c r="K15" i="7"/>
  <c r="E15" i="7"/>
  <c r="O14" i="7"/>
  <c r="M14" i="7"/>
  <c r="K14" i="7"/>
  <c r="I14" i="7"/>
  <c r="G14" i="7"/>
  <c r="E14" i="7"/>
  <c r="C54" i="7"/>
  <c r="C97" i="7" s="1"/>
  <c r="E54" i="7"/>
  <c r="G54" i="7"/>
  <c r="J54" i="7"/>
  <c r="M54" i="7"/>
  <c r="O54" i="7"/>
  <c r="D106" i="7"/>
  <c r="F68" i="7"/>
  <c r="F106" i="7"/>
  <c r="J68" i="7"/>
  <c r="J106" i="7"/>
  <c r="L68" i="7"/>
  <c r="L70" i="7" s="1"/>
  <c r="L72" i="7" s="1"/>
  <c r="L106" i="7"/>
  <c r="N68" i="7"/>
  <c r="N70" i="7" s="1"/>
  <c r="N72" i="7" s="1"/>
  <c r="N106" i="7"/>
  <c r="N111" i="7" s="1"/>
  <c r="D50" i="1"/>
  <c r="D62" i="7" s="1"/>
  <c r="D105" i="7" s="1"/>
  <c r="D148" i="7" s="1"/>
  <c r="F50" i="1"/>
  <c r="F62" i="7" s="1"/>
  <c r="F105" i="7" s="1"/>
  <c r="F148" i="7" s="1"/>
  <c r="H50" i="1"/>
  <c r="H62" i="7" s="1"/>
  <c r="H105" i="7" s="1"/>
  <c r="H148" i="7" s="1"/>
  <c r="J50" i="1"/>
  <c r="J62" i="7" s="1"/>
  <c r="J105" i="7" s="1"/>
  <c r="J148" i="7" s="1"/>
  <c r="L50" i="1"/>
  <c r="L62" i="7" s="1"/>
  <c r="L105" i="7" s="1"/>
  <c r="L148" i="7" s="1"/>
  <c r="N50" i="1"/>
  <c r="N62" i="7" s="1"/>
  <c r="N105" i="7" s="1"/>
  <c r="N148" i="7" s="1"/>
  <c r="E66" i="7"/>
  <c r="E67" i="7" s="1"/>
  <c r="E58" i="1"/>
  <c r="G66" i="7"/>
  <c r="G67" i="7" s="1"/>
  <c r="G58" i="1"/>
  <c r="I66" i="7"/>
  <c r="I67" i="7" s="1"/>
  <c r="I58" i="1"/>
  <c r="K66" i="7"/>
  <c r="K67" i="7" s="1"/>
  <c r="K58" i="1"/>
  <c r="M66" i="7"/>
  <c r="M67" i="7" s="1"/>
  <c r="M58" i="1"/>
  <c r="O66" i="7"/>
  <c r="O67" i="7" s="1"/>
  <c r="O58" i="1"/>
  <c r="D93" i="6"/>
  <c r="D68" i="1" s="1"/>
  <c r="D69" i="1"/>
  <c r="F93" i="6"/>
  <c r="F68" i="1" s="1"/>
  <c r="F69" i="1"/>
  <c r="H93" i="6"/>
  <c r="H68" i="1" s="1"/>
  <c r="H69" i="1"/>
  <c r="J93" i="6"/>
  <c r="J68" i="1" s="1"/>
  <c r="J69" i="1"/>
  <c r="L93" i="6"/>
  <c r="L68" i="1" s="1"/>
  <c r="L69" i="1"/>
  <c r="N93" i="6"/>
  <c r="N68" i="1" s="1"/>
  <c r="N69" i="1"/>
  <c r="L111" i="7"/>
  <c r="J111" i="7"/>
  <c r="F111" i="7"/>
  <c r="E75" i="6"/>
  <c r="D80" i="6"/>
  <c r="C15" i="7"/>
  <c r="D25" i="7"/>
  <c r="N24" i="7"/>
  <c r="L24" i="7"/>
  <c r="J24" i="7"/>
  <c r="H24" i="7"/>
  <c r="F24" i="7"/>
  <c r="N15" i="7"/>
  <c r="L15" i="7"/>
  <c r="N14" i="7"/>
  <c r="L14" i="7"/>
  <c r="J14" i="7"/>
  <c r="H14" i="7"/>
  <c r="F14" i="7"/>
  <c r="D14" i="7"/>
  <c r="N74" i="7"/>
  <c r="J74" i="7"/>
  <c r="E14" i="3"/>
  <c r="E12" i="6" s="1"/>
  <c r="E53" i="7" s="1"/>
  <c r="E182" i="7" s="1"/>
  <c r="D20" i="3"/>
  <c r="E30" i="3"/>
  <c r="G16" i="3"/>
  <c r="G14" i="6" s="1"/>
  <c r="G139" i="7" s="1"/>
  <c r="G249" i="7" s="1"/>
  <c r="D15" i="3"/>
  <c r="D13" i="6" s="1"/>
  <c r="D96" i="7" s="1"/>
  <c r="D240" i="7" s="1"/>
  <c r="C25" i="3"/>
  <c r="C15" i="3" s="1"/>
  <c r="C13" i="6" s="1"/>
  <c r="C96" i="7" s="1"/>
  <c r="C240" i="7" s="1"/>
  <c r="N26" i="4"/>
  <c r="F26" i="4"/>
  <c r="H26" i="4" s="1"/>
  <c r="J26" i="4" s="1"/>
  <c r="O26" i="4"/>
  <c r="G26" i="4"/>
  <c r="I26" i="4" s="1"/>
  <c r="N28" i="4"/>
  <c r="F28" i="4"/>
  <c r="H28" i="4" s="1"/>
  <c r="J28" i="4" s="1"/>
  <c r="O28" i="4"/>
  <c r="G28" i="4"/>
  <c r="I28" i="4" s="1"/>
  <c r="F48" i="4"/>
  <c r="H48" i="4" s="1"/>
  <c r="J48" i="4" s="1"/>
  <c r="L48" i="4" s="1"/>
  <c r="G48" i="4"/>
  <c r="I48" i="4" s="1"/>
  <c r="K48" i="4" s="1"/>
  <c r="M48" i="4" s="1"/>
  <c r="N48" i="4" s="1"/>
  <c r="O48" i="4" s="1"/>
  <c r="G49" i="4"/>
  <c r="G52" i="4" s="1"/>
  <c r="K49" i="4"/>
  <c r="K52" i="4" s="1"/>
  <c r="N17" i="4"/>
  <c r="O17" i="4" s="1"/>
  <c r="F17" i="4"/>
  <c r="D38" i="4"/>
  <c r="D39" i="4" s="1"/>
  <c r="F49" i="4"/>
  <c r="F52" i="4" s="1"/>
  <c r="H49" i="4"/>
  <c r="H52" i="4" s="1"/>
  <c r="L49" i="4"/>
  <c r="L52" i="4" s="1"/>
  <c r="J50" i="4"/>
  <c r="J53" i="4" s="1"/>
  <c r="L50" i="4"/>
  <c r="L53" i="4" s="1"/>
  <c r="F51" i="4"/>
  <c r="F54" i="4" s="1"/>
  <c r="H51" i="4"/>
  <c r="H54" i="4" s="1"/>
  <c r="L51" i="4"/>
  <c r="L54" i="4" s="1"/>
  <c r="O14" i="4"/>
  <c r="E25" i="4"/>
  <c r="E25" i="5" s="1"/>
  <c r="N41" i="4"/>
  <c r="N47" i="4" s="1"/>
  <c r="M42" i="4"/>
  <c r="N43" i="4"/>
  <c r="N46" i="4" s="1"/>
  <c r="N50" i="4" s="1"/>
  <c r="N53" i="4" s="1"/>
  <c r="M44" i="4"/>
  <c r="M41" i="4"/>
  <c r="M46" i="4" s="1"/>
  <c r="N42" i="4"/>
  <c r="O26" i="5"/>
  <c r="O62" i="6" s="1"/>
  <c r="G26" i="5"/>
  <c r="N26" i="5"/>
  <c r="N62" i="6" s="1"/>
  <c r="F26" i="5"/>
  <c r="O28" i="5"/>
  <c r="O61" i="6" s="1"/>
  <c r="O59" i="7" s="1"/>
  <c r="O102" i="7" s="1"/>
  <c r="O145" i="7" s="1"/>
  <c r="O191" i="7" s="1"/>
  <c r="G28" i="5"/>
  <c r="N28" i="5"/>
  <c r="N61" i="6" s="1"/>
  <c r="N59" i="7" s="1"/>
  <c r="N102" i="7" s="1"/>
  <c r="N145" i="7" s="1"/>
  <c r="N191" i="7" s="1"/>
  <c r="F28" i="5"/>
  <c r="F48" i="5"/>
  <c r="H48" i="5" s="1"/>
  <c r="J48" i="5" s="1"/>
  <c r="L48" i="5" s="1"/>
  <c r="G48" i="5"/>
  <c r="I48" i="5" s="1"/>
  <c r="K48" i="5" s="1"/>
  <c r="M48" i="5" s="1"/>
  <c r="N48" i="5" s="1"/>
  <c r="O48" i="5" s="1"/>
  <c r="D38" i="5"/>
  <c r="D39" i="5" s="1"/>
  <c r="D47" i="5"/>
  <c r="D51" i="5" s="1"/>
  <c r="D54" i="5" s="1"/>
  <c r="C45" i="5"/>
  <c r="C49" i="5" s="1"/>
  <c r="C52" i="5" s="1"/>
  <c r="F45" i="5"/>
  <c r="F49" i="5" s="1"/>
  <c r="F52" i="5" s="1"/>
  <c r="H45" i="5"/>
  <c r="H49" i="5" s="1"/>
  <c r="H52" i="5" s="1"/>
  <c r="J45" i="5"/>
  <c r="J49" i="5" s="1"/>
  <c r="J52" i="5" s="1"/>
  <c r="L45" i="5"/>
  <c r="L49" i="5" s="1"/>
  <c r="L52" i="5" s="1"/>
  <c r="N45" i="5"/>
  <c r="C46" i="5"/>
  <c r="C50" i="5" s="1"/>
  <c r="C53" i="5" s="1"/>
  <c r="F46" i="5"/>
  <c r="F50" i="5" s="1"/>
  <c r="F53" i="5" s="1"/>
  <c r="H46" i="5"/>
  <c r="J46" i="5"/>
  <c r="J50" i="5" s="1"/>
  <c r="J53" i="5" s="1"/>
  <c r="L46" i="5"/>
  <c r="L50" i="5" s="1"/>
  <c r="L53" i="5" s="1"/>
  <c r="N46" i="5"/>
  <c r="N50" i="5" s="1"/>
  <c r="N53" i="5" s="1"/>
  <c r="C47" i="5"/>
  <c r="C51" i="5" s="1"/>
  <c r="C54" i="5" s="1"/>
  <c r="F47" i="5"/>
  <c r="H47" i="5"/>
  <c r="H51" i="5" s="1"/>
  <c r="H54" i="5" s="1"/>
  <c r="J47" i="5"/>
  <c r="J51" i="5" s="1"/>
  <c r="J54" i="5" s="1"/>
  <c r="L47" i="5"/>
  <c r="N47" i="5"/>
  <c r="N51" i="5" s="1"/>
  <c r="N54" i="5" s="1"/>
  <c r="C38" i="5"/>
  <c r="C39" i="5" s="1"/>
  <c r="E38" i="5"/>
  <c r="E39" i="5" s="1"/>
  <c r="E45" i="5"/>
  <c r="E49" i="5" s="1"/>
  <c r="E52" i="5" s="1"/>
  <c r="G45" i="5"/>
  <c r="G49" i="5" s="1"/>
  <c r="G52" i="5" s="1"/>
  <c r="I45" i="5"/>
  <c r="I49" i="5" s="1"/>
  <c r="I52" i="5" s="1"/>
  <c r="K45" i="5"/>
  <c r="K49" i="5" s="1"/>
  <c r="K52" i="5" s="1"/>
  <c r="M45" i="5"/>
  <c r="O45" i="5"/>
  <c r="O49" i="5" s="1"/>
  <c r="O52" i="5" s="1"/>
  <c r="E46" i="5"/>
  <c r="E50" i="5" s="1"/>
  <c r="E53" i="5" s="1"/>
  <c r="G46" i="5"/>
  <c r="G50" i="5" s="1"/>
  <c r="G53" i="5" s="1"/>
  <c r="I46" i="5"/>
  <c r="I50" i="5" s="1"/>
  <c r="I53" i="5" s="1"/>
  <c r="K46" i="5"/>
  <c r="K50" i="5" s="1"/>
  <c r="K53" i="5" s="1"/>
  <c r="M46" i="5"/>
  <c r="M50" i="5" s="1"/>
  <c r="M53" i="5" s="1"/>
  <c r="O46" i="5"/>
  <c r="O50" i="5" s="1"/>
  <c r="O53" i="5" s="1"/>
  <c r="E47" i="5"/>
  <c r="E51" i="5" s="1"/>
  <c r="E54" i="5" s="1"/>
  <c r="G47" i="5"/>
  <c r="G51" i="5" s="1"/>
  <c r="G54" i="5" s="1"/>
  <c r="I47" i="5"/>
  <c r="I51" i="5" s="1"/>
  <c r="I54" i="5" s="1"/>
  <c r="K47" i="5"/>
  <c r="K51" i="5" s="1"/>
  <c r="K54" i="5" s="1"/>
  <c r="M47" i="5"/>
  <c r="M51" i="5" s="1"/>
  <c r="M54" i="5" s="1"/>
  <c r="O47" i="5"/>
  <c r="O51" i="5" s="1"/>
  <c r="O54" i="5" s="1"/>
  <c r="D23" i="5"/>
  <c r="D35" i="5"/>
  <c r="D72" i="6" s="1"/>
  <c r="D56" i="1" s="1"/>
  <c r="D58" i="1" s="1"/>
  <c r="D43" i="5"/>
  <c r="D46" i="5" s="1"/>
  <c r="D50" i="5" s="1"/>
  <c r="D53" i="5" s="1"/>
  <c r="C23" i="5"/>
  <c r="E23" i="5"/>
  <c r="D42" i="5"/>
  <c r="D45" i="5" s="1"/>
  <c r="D49" i="5" s="1"/>
  <c r="D52" i="5" s="1"/>
  <c r="G77" i="6"/>
  <c r="I77" i="6" s="1"/>
  <c r="K77" i="6" s="1"/>
  <c r="M77" i="6" s="1"/>
  <c r="F77" i="6"/>
  <c r="H77" i="6" s="1"/>
  <c r="J77" i="6" s="1"/>
  <c r="L77" i="6" s="1"/>
  <c r="L33" i="6"/>
  <c r="L54" i="7" s="1"/>
  <c r="H35" i="6"/>
  <c r="H37" i="6" s="1"/>
  <c r="L36" i="6"/>
  <c r="C37" i="6"/>
  <c r="E37" i="6"/>
  <c r="K37" i="6"/>
  <c r="M37" i="6"/>
  <c r="O37" i="6"/>
  <c r="G75" i="6"/>
  <c r="G76" i="6"/>
  <c r="I76" i="6" s="1"/>
  <c r="D81" i="6"/>
  <c r="O19" i="6"/>
  <c r="I33" i="6"/>
  <c r="I54" i="7" s="1"/>
  <c r="G35" i="6"/>
  <c r="G37" i="6" s="1"/>
  <c r="D37" i="6"/>
  <c r="F37" i="6"/>
  <c r="N37" i="6"/>
  <c r="E78" i="6"/>
  <c r="C33" i="7"/>
  <c r="G232" i="7"/>
  <c r="G182" i="7"/>
  <c r="I232" i="7"/>
  <c r="I182" i="7"/>
  <c r="K232" i="7"/>
  <c r="K182" i="7"/>
  <c r="M232" i="7"/>
  <c r="M182" i="7"/>
  <c r="O232" i="7"/>
  <c r="O182" i="7"/>
  <c r="C13" i="7"/>
  <c r="C15" i="1" s="1"/>
  <c r="E15" i="1"/>
  <c r="G15" i="1"/>
  <c r="K15" i="1"/>
  <c r="M15" i="1"/>
  <c r="C32" i="7"/>
  <c r="F232" i="7"/>
  <c r="F182" i="7"/>
  <c r="H232" i="7"/>
  <c r="H182" i="7"/>
  <c r="J232" i="7"/>
  <c r="J182" i="7"/>
  <c r="L232" i="7"/>
  <c r="L182" i="7"/>
  <c r="N232" i="7"/>
  <c r="N182" i="7"/>
  <c r="C140" i="7"/>
  <c r="C142" i="7" s="1"/>
  <c r="C99" i="7"/>
  <c r="C106" i="7"/>
  <c r="C111" i="7" s="1"/>
  <c r="C107" i="7" s="1"/>
  <c r="C150" i="7" s="1"/>
  <c r="C74" i="7"/>
  <c r="C161" i="7"/>
  <c r="F15" i="1"/>
  <c r="J15" i="1"/>
  <c r="N15" i="1"/>
  <c r="C56" i="7"/>
  <c r="C214" i="7"/>
  <c r="C236" i="7"/>
  <c r="E214" i="7"/>
  <c r="E236" i="7"/>
  <c r="G214" i="7"/>
  <c r="G236" i="7"/>
  <c r="I214" i="7"/>
  <c r="I236" i="7"/>
  <c r="K214" i="7"/>
  <c r="K236" i="7"/>
  <c r="M214" i="7"/>
  <c r="M236" i="7"/>
  <c r="O214" i="7"/>
  <c r="O236" i="7"/>
  <c r="C273" i="7"/>
  <c r="C244" i="7"/>
  <c r="C215" i="7"/>
  <c r="E273" i="7"/>
  <c r="E244" i="7"/>
  <c r="E215" i="7"/>
  <c r="G273" i="7"/>
  <c r="G244" i="7"/>
  <c r="G215" i="7"/>
  <c r="I273" i="7"/>
  <c r="I244" i="7"/>
  <c r="I215" i="7"/>
  <c r="K273" i="7"/>
  <c r="K244" i="7"/>
  <c r="K215" i="7"/>
  <c r="M273" i="7"/>
  <c r="M244" i="7"/>
  <c r="M215" i="7"/>
  <c r="O273" i="7"/>
  <c r="O244" i="7"/>
  <c r="O215" i="7"/>
  <c r="C253" i="7"/>
  <c r="C216" i="7"/>
  <c r="C274" i="7"/>
  <c r="E253" i="7"/>
  <c r="E216" i="7"/>
  <c r="E274" i="7"/>
  <c r="G253" i="7"/>
  <c r="G216" i="7"/>
  <c r="G274" i="7"/>
  <c r="I253" i="7"/>
  <c r="I216" i="7"/>
  <c r="I274" i="7"/>
  <c r="K253" i="7"/>
  <c r="K216" i="7"/>
  <c r="K274" i="7"/>
  <c r="M253" i="7"/>
  <c r="M216" i="7"/>
  <c r="M274" i="7"/>
  <c r="O253" i="7"/>
  <c r="O216" i="7"/>
  <c r="O274" i="7"/>
  <c r="C100" i="7"/>
  <c r="C187" i="7" s="1"/>
  <c r="D183" i="7"/>
  <c r="F183" i="7"/>
  <c r="H183" i="7"/>
  <c r="J183" i="7"/>
  <c r="L183" i="7"/>
  <c r="N183" i="7"/>
  <c r="I184" i="7"/>
  <c r="K184" i="7"/>
  <c r="M184" i="7"/>
  <c r="O184" i="7"/>
  <c r="D236" i="7"/>
  <c r="D214" i="7"/>
  <c r="F236" i="7"/>
  <c r="F214" i="7"/>
  <c r="H236" i="7"/>
  <c r="H214" i="7"/>
  <c r="J236" i="7"/>
  <c r="J214" i="7"/>
  <c r="L236" i="7"/>
  <c r="L214" i="7"/>
  <c r="N236" i="7"/>
  <c r="N214" i="7"/>
  <c r="D215" i="7"/>
  <c r="D273" i="7"/>
  <c r="D244" i="7"/>
  <c r="F215" i="7"/>
  <c r="F273" i="7"/>
  <c r="F244" i="7"/>
  <c r="H215" i="7"/>
  <c r="H273" i="7"/>
  <c r="H244" i="7"/>
  <c r="J215" i="7"/>
  <c r="J273" i="7"/>
  <c r="J244" i="7"/>
  <c r="L215" i="7"/>
  <c r="L273" i="7"/>
  <c r="L244" i="7"/>
  <c r="N215" i="7"/>
  <c r="N273" i="7"/>
  <c r="N244" i="7"/>
  <c r="D274" i="7"/>
  <c r="D253" i="7"/>
  <c r="D216" i="7"/>
  <c r="F274" i="7"/>
  <c r="F253" i="7"/>
  <c r="F216" i="7"/>
  <c r="H274" i="7"/>
  <c r="H253" i="7"/>
  <c r="H216" i="7"/>
  <c r="J274" i="7"/>
  <c r="J253" i="7"/>
  <c r="J216" i="7"/>
  <c r="L274" i="7"/>
  <c r="L253" i="7"/>
  <c r="L216" i="7"/>
  <c r="N274" i="7"/>
  <c r="N253" i="7"/>
  <c r="N216" i="7"/>
  <c r="C77" i="7"/>
  <c r="C183" i="7"/>
  <c r="E183" i="7"/>
  <c r="G183" i="7"/>
  <c r="I183" i="7"/>
  <c r="K183" i="7"/>
  <c r="M183" i="7"/>
  <c r="O183" i="7"/>
  <c r="F184" i="7"/>
  <c r="H184" i="7"/>
  <c r="J184" i="7"/>
  <c r="L184" i="7"/>
  <c r="N184" i="7"/>
  <c r="I68" i="7" l="1"/>
  <c r="I106" i="7"/>
  <c r="I111" i="7" s="1"/>
  <c r="I241" i="7" s="1"/>
  <c r="G68" i="7"/>
  <c r="G233" i="7" s="1"/>
  <c r="G106" i="7"/>
  <c r="G111" i="7" s="1"/>
  <c r="G241" i="7" s="1"/>
  <c r="E232" i="7"/>
  <c r="G79" i="6"/>
  <c r="H28" i="5"/>
  <c r="F61" i="6"/>
  <c r="G51" i="4"/>
  <c r="G54" i="4" s="1"/>
  <c r="D15" i="7"/>
  <c r="E81" i="6"/>
  <c r="M49" i="5"/>
  <c r="M52" i="5" s="1"/>
  <c r="F51" i="5"/>
  <c r="F54" i="5" s="1"/>
  <c r="N49" i="5"/>
  <c r="N52" i="5" s="1"/>
  <c r="M50" i="4"/>
  <c r="M53" i="4" s="1"/>
  <c r="J51" i="4"/>
  <c r="J54" i="4" s="1"/>
  <c r="J49" i="4"/>
  <c r="J52" i="4" s="1"/>
  <c r="I50" i="4"/>
  <c r="I53" i="4" s="1"/>
  <c r="D111" i="7"/>
  <c r="D113" i="7" s="1"/>
  <c r="D115" i="7" s="1"/>
  <c r="O15" i="7"/>
  <c r="E68" i="7"/>
  <c r="O69" i="6"/>
  <c r="O52" i="1" s="1"/>
  <c r="O63" i="7" s="1"/>
  <c r="O74" i="7" s="1"/>
  <c r="H106" i="7"/>
  <c r="H111" i="7" s="1"/>
  <c r="N51" i="4"/>
  <c r="N54" i="4" s="1"/>
  <c r="H74" i="7"/>
  <c r="M68" i="7"/>
  <c r="H13" i="7"/>
  <c r="H15" i="1" s="1"/>
  <c r="C24" i="7"/>
  <c r="D19" i="7"/>
  <c r="D13" i="1"/>
  <c r="H26" i="5"/>
  <c r="F62" i="6"/>
  <c r="F74" i="7"/>
  <c r="D14" i="1"/>
  <c r="D21" i="7"/>
  <c r="L51" i="5"/>
  <c r="L54" i="5" s="1"/>
  <c r="H50" i="5"/>
  <c r="H53" i="5" s="1"/>
  <c r="I26" i="5"/>
  <c r="I62" i="6" s="1"/>
  <c r="G62" i="6"/>
  <c r="E60" i="6"/>
  <c r="E31" i="7" s="1"/>
  <c r="E75" i="7"/>
  <c r="E118" i="7" s="1"/>
  <c r="E161" i="7" s="1"/>
  <c r="E195" i="7" s="1"/>
  <c r="E22" i="5"/>
  <c r="E34" i="5" s="1"/>
  <c r="H50" i="4"/>
  <c r="H53" i="4" s="1"/>
  <c r="D66" i="7"/>
  <c r="D67" i="7" s="1"/>
  <c r="I28" i="5"/>
  <c r="I61" i="6" s="1"/>
  <c r="G61" i="6"/>
  <c r="G184" i="7"/>
  <c r="K51" i="4"/>
  <c r="K54" i="4" s="1"/>
  <c r="L74" i="7"/>
  <c r="L13" i="7"/>
  <c r="L15" i="1" s="1"/>
  <c r="E58" i="6"/>
  <c r="E73" i="7"/>
  <c r="D73" i="7"/>
  <c r="D58" i="6"/>
  <c r="C58" i="6"/>
  <c r="C73" i="7"/>
  <c r="D71" i="6"/>
  <c r="D54" i="1" s="1"/>
  <c r="D65" i="7" s="1"/>
  <c r="D108" i="7" s="1"/>
  <c r="D151" i="7" s="1"/>
  <c r="G64" i="1"/>
  <c r="G24" i="1"/>
  <c r="L20" i="7"/>
  <c r="L26" i="7"/>
  <c r="L28" i="7" s="1"/>
  <c r="L113" i="7"/>
  <c r="L115" i="7" s="1"/>
  <c r="N113" i="7"/>
  <c r="N115" i="7" s="1"/>
  <c r="D149" i="7"/>
  <c r="D117" i="7"/>
  <c r="D120" i="7" s="1"/>
  <c r="G20" i="7"/>
  <c r="N109" i="7"/>
  <c r="N61" i="1"/>
  <c r="L109" i="7"/>
  <c r="L61" i="1"/>
  <c r="J109" i="7"/>
  <c r="J61" i="1"/>
  <c r="H109" i="7"/>
  <c r="H61" i="1"/>
  <c r="F109" i="7"/>
  <c r="F61" i="1"/>
  <c r="N97" i="7"/>
  <c r="N56" i="7"/>
  <c r="K97" i="7"/>
  <c r="K56" i="7"/>
  <c r="K64" i="7" s="1"/>
  <c r="H97" i="7"/>
  <c r="H56" i="7"/>
  <c r="F97" i="7"/>
  <c r="F56" i="7"/>
  <c r="D97" i="7"/>
  <c r="D56" i="7"/>
  <c r="K20" i="7"/>
  <c r="K26" i="7"/>
  <c r="K28" i="7" s="1"/>
  <c r="O20" i="7"/>
  <c r="O26" i="7"/>
  <c r="O28" i="7" s="1"/>
  <c r="M74" i="7"/>
  <c r="K74" i="7"/>
  <c r="I74" i="7"/>
  <c r="G74" i="7"/>
  <c r="E74" i="7"/>
  <c r="I97" i="7"/>
  <c r="I56" i="7"/>
  <c r="I75" i="6"/>
  <c r="G63" i="1"/>
  <c r="G23" i="1"/>
  <c r="L97" i="7"/>
  <c r="L56" i="7"/>
  <c r="F64" i="1"/>
  <c r="F24" i="1"/>
  <c r="F20" i="7"/>
  <c r="N20" i="7"/>
  <c r="N26" i="7"/>
  <c r="N28" i="7" s="1"/>
  <c r="F75" i="6"/>
  <c r="E63" i="1"/>
  <c r="E23" i="1"/>
  <c r="O109" i="7"/>
  <c r="O61" i="1"/>
  <c r="M109" i="7"/>
  <c r="M61" i="1"/>
  <c r="K109" i="7"/>
  <c r="K61" i="1"/>
  <c r="I109" i="7"/>
  <c r="I61" i="1"/>
  <c r="G109" i="7"/>
  <c r="G61" i="1"/>
  <c r="E109" i="7"/>
  <c r="E61" i="1"/>
  <c r="N149" i="7"/>
  <c r="N117" i="7"/>
  <c r="L149" i="7"/>
  <c r="L117" i="7"/>
  <c r="J149" i="7"/>
  <c r="J117" i="7"/>
  <c r="H149" i="7"/>
  <c r="H117" i="7"/>
  <c r="F149" i="7"/>
  <c r="F117" i="7"/>
  <c r="O97" i="7"/>
  <c r="O56" i="7"/>
  <c r="M97" i="7"/>
  <c r="M56" i="7"/>
  <c r="M64" i="7" s="1"/>
  <c r="J97" i="7"/>
  <c r="J56" i="7"/>
  <c r="G97" i="7"/>
  <c r="G56" i="7"/>
  <c r="E97" i="7"/>
  <c r="E56" i="7"/>
  <c r="E64" i="7" s="1"/>
  <c r="E20" i="7"/>
  <c r="I64" i="7"/>
  <c r="K70" i="7"/>
  <c r="K72" i="7" s="1"/>
  <c r="M70" i="7"/>
  <c r="M72" i="7" s="1"/>
  <c r="K113" i="7"/>
  <c r="K115" i="7" s="1"/>
  <c r="M113" i="7"/>
  <c r="M115" i="7" s="1"/>
  <c r="G107" i="6"/>
  <c r="E69" i="7"/>
  <c r="E112" i="7" s="1"/>
  <c r="E155" i="7" s="1"/>
  <c r="E192" i="7" s="1"/>
  <c r="F107" i="6"/>
  <c r="E25" i="7"/>
  <c r="E26" i="7" s="1"/>
  <c r="E28" i="7" s="1"/>
  <c r="E64" i="1"/>
  <c r="E24" i="1"/>
  <c r="D109" i="7"/>
  <c r="D61" i="1"/>
  <c r="M149" i="7"/>
  <c r="M117" i="7"/>
  <c r="K149" i="7"/>
  <c r="K117" i="7"/>
  <c r="E149" i="7"/>
  <c r="E117" i="7"/>
  <c r="E120" i="7" s="1"/>
  <c r="D74" i="7"/>
  <c r="D77" i="7" s="1"/>
  <c r="C65" i="1"/>
  <c r="D30" i="3"/>
  <c r="E16" i="3"/>
  <c r="E14" i="6" s="1"/>
  <c r="E139" i="7" s="1"/>
  <c r="C20" i="3"/>
  <c r="C14" i="3" s="1"/>
  <c r="C12" i="6" s="1"/>
  <c r="C53" i="7" s="1"/>
  <c r="D14" i="3"/>
  <c r="D12" i="6" s="1"/>
  <c r="D53" i="7" s="1"/>
  <c r="E38" i="4"/>
  <c r="E39" i="4" s="1"/>
  <c r="F25" i="4"/>
  <c r="F25" i="5" s="1"/>
  <c r="E23" i="4"/>
  <c r="E29" i="7" s="1"/>
  <c r="G25" i="4"/>
  <c r="G25" i="5" s="1"/>
  <c r="E22" i="4"/>
  <c r="E34" i="4" s="1"/>
  <c r="N45" i="4"/>
  <c r="N49" i="4" s="1"/>
  <c r="N52" i="4" s="1"/>
  <c r="M47" i="4"/>
  <c r="M51" i="4" s="1"/>
  <c r="M54" i="4" s="1"/>
  <c r="M45" i="4"/>
  <c r="M49" i="4" s="1"/>
  <c r="M52" i="4" s="1"/>
  <c r="I51" i="4"/>
  <c r="I54" i="4" s="1"/>
  <c r="K50" i="4"/>
  <c r="K53" i="4" s="1"/>
  <c r="G50" i="4"/>
  <c r="G53" i="4" s="1"/>
  <c r="I49" i="4"/>
  <c r="I52" i="4" s="1"/>
  <c r="O43" i="4"/>
  <c r="O46" i="4" s="1"/>
  <c r="O50" i="4" s="1"/>
  <c r="O53" i="4" s="1"/>
  <c r="O44" i="4"/>
  <c r="O42" i="4"/>
  <c r="O45" i="4" s="1"/>
  <c r="O49" i="4" s="1"/>
  <c r="O52" i="4" s="1"/>
  <c r="H17" i="4"/>
  <c r="J17" i="4" s="1"/>
  <c r="G17" i="4"/>
  <c r="I17" i="4" s="1"/>
  <c r="O41" i="4"/>
  <c r="I35" i="6"/>
  <c r="J35" i="6" s="1"/>
  <c r="J37" i="6" s="1"/>
  <c r="L37" i="6"/>
  <c r="F81" i="6"/>
  <c r="H79" i="6"/>
  <c r="G36" i="6"/>
  <c r="G78" i="6"/>
  <c r="E80" i="6"/>
  <c r="F78" i="6"/>
  <c r="G81" i="6"/>
  <c r="I79" i="6"/>
  <c r="O34" i="6"/>
  <c r="N241" i="7"/>
  <c r="J241" i="7"/>
  <c r="F241" i="7"/>
  <c r="M241" i="7"/>
  <c r="E241" i="7"/>
  <c r="L233" i="7"/>
  <c r="H233" i="7"/>
  <c r="K233" i="7"/>
  <c r="L241" i="7"/>
  <c r="H241" i="7"/>
  <c r="K241" i="7"/>
  <c r="C241" i="7"/>
  <c r="C113" i="7"/>
  <c r="N233" i="7"/>
  <c r="J233" i="7"/>
  <c r="F233" i="7"/>
  <c r="C195" i="7"/>
  <c r="C149" i="7"/>
  <c r="C117" i="7"/>
  <c r="C120" i="7" s="1"/>
  <c r="M233" i="7"/>
  <c r="I233" i="7"/>
  <c r="E233" i="7"/>
  <c r="E249" i="7" l="1"/>
  <c r="E184" i="7"/>
  <c r="D241" i="7"/>
  <c r="G64" i="7"/>
  <c r="F120" i="7"/>
  <c r="C232" i="7"/>
  <c r="C182" i="7"/>
  <c r="C68" i="7"/>
  <c r="C64" i="7" s="1"/>
  <c r="E32" i="7"/>
  <c r="E33" i="7"/>
  <c r="G59" i="7"/>
  <c r="G102" i="7" s="1"/>
  <c r="G145" i="7" s="1"/>
  <c r="G191" i="7" s="1"/>
  <c r="G15" i="7"/>
  <c r="J26" i="5"/>
  <c r="J62" i="6" s="1"/>
  <c r="H62" i="6"/>
  <c r="E21" i="7"/>
  <c r="E14" i="1"/>
  <c r="G149" i="7"/>
  <c r="G160" i="7" s="1"/>
  <c r="G163" i="7" s="1"/>
  <c r="I59" i="7"/>
  <c r="I102" i="7" s="1"/>
  <c r="I145" i="7" s="1"/>
  <c r="I191" i="7" s="1"/>
  <c r="I15" i="7"/>
  <c r="G75" i="7"/>
  <c r="G118" i="7" s="1"/>
  <c r="G161" i="7" s="1"/>
  <c r="G195" i="7" s="1"/>
  <c r="G60" i="6"/>
  <c r="G22" i="5"/>
  <c r="G34" i="5" s="1"/>
  <c r="G23" i="5"/>
  <c r="G38" i="5"/>
  <c r="G39" i="5" s="1"/>
  <c r="I117" i="7"/>
  <c r="D30" i="7"/>
  <c r="D33" i="7" s="1"/>
  <c r="D24" i="7"/>
  <c r="F59" i="7"/>
  <c r="F102" i="7" s="1"/>
  <c r="F145" i="7" s="1"/>
  <c r="F191" i="7" s="1"/>
  <c r="F15" i="7"/>
  <c r="D232" i="7"/>
  <c r="D182" i="7"/>
  <c r="D68" i="7"/>
  <c r="D64" i="7" s="1"/>
  <c r="F77" i="7"/>
  <c r="G117" i="7"/>
  <c r="I149" i="7"/>
  <c r="I160" i="7" s="1"/>
  <c r="C26" i="7"/>
  <c r="C28" i="7" s="1"/>
  <c r="C20" i="7"/>
  <c r="O106" i="7"/>
  <c r="O68" i="7"/>
  <c r="J28" i="5"/>
  <c r="J61" i="6" s="1"/>
  <c r="H61" i="6"/>
  <c r="E57" i="6"/>
  <c r="E71" i="6" s="1"/>
  <c r="E54" i="1" s="1"/>
  <c r="E65" i="7" s="1"/>
  <c r="E108" i="7" s="1"/>
  <c r="E151" i="7" s="1"/>
  <c r="F75" i="7"/>
  <c r="F118" i="7" s="1"/>
  <c r="F161" i="7" s="1"/>
  <c r="F60" i="6"/>
  <c r="F38" i="5"/>
  <c r="F39" i="5" s="1"/>
  <c r="F22" i="5"/>
  <c r="F34" i="5" s="1"/>
  <c r="F23" i="5"/>
  <c r="C57" i="7"/>
  <c r="E77" i="7"/>
  <c r="D116" i="7"/>
  <c r="D76" i="7"/>
  <c r="E56" i="6"/>
  <c r="E70" i="6" s="1"/>
  <c r="E53" i="1" s="1"/>
  <c r="E68" i="6"/>
  <c r="E51" i="1" s="1"/>
  <c r="D68" i="6"/>
  <c r="D51" i="1" s="1"/>
  <c r="D56" i="6"/>
  <c r="D70" i="6" s="1"/>
  <c r="D53" i="1" s="1"/>
  <c r="E116" i="7"/>
  <c r="E76" i="7"/>
  <c r="C56" i="6"/>
  <c r="C70" i="6" s="1"/>
  <c r="C53" i="1" s="1"/>
  <c r="C68" i="6"/>
  <c r="C51" i="1" s="1"/>
  <c r="C116" i="7"/>
  <c r="C76" i="7"/>
  <c r="H64" i="1"/>
  <c r="H24" i="1"/>
  <c r="E65" i="1"/>
  <c r="E66" i="1" s="1"/>
  <c r="E67" i="1" s="1"/>
  <c r="E74" i="1" s="1"/>
  <c r="E57" i="7"/>
  <c r="G65" i="1"/>
  <c r="G66" i="1" s="1"/>
  <c r="G67" i="1" s="1"/>
  <c r="G74" i="1" s="1"/>
  <c r="G57" i="7"/>
  <c r="J65" i="1"/>
  <c r="J64" i="7"/>
  <c r="J57" i="7"/>
  <c r="M65" i="1"/>
  <c r="M57" i="7"/>
  <c r="O65" i="1"/>
  <c r="O66" i="1" s="1"/>
  <c r="O67" i="1" s="1"/>
  <c r="O74" i="1" s="1"/>
  <c r="O57" i="7"/>
  <c r="H75" i="6"/>
  <c r="F63" i="1"/>
  <c r="F23" i="1"/>
  <c r="L140" i="7"/>
  <c r="L142" i="7" s="1"/>
  <c r="L143" i="7" s="1"/>
  <c r="L188" i="7" s="1"/>
  <c r="L99" i="7"/>
  <c r="I65" i="1"/>
  <c r="I57" i="7"/>
  <c r="D140" i="7"/>
  <c r="D142" i="7" s="1"/>
  <c r="D143" i="7" s="1"/>
  <c r="D188" i="7" s="1"/>
  <c r="D99" i="7"/>
  <c r="F140" i="7"/>
  <c r="F142" i="7" s="1"/>
  <c r="F143" i="7" s="1"/>
  <c r="F188" i="7" s="1"/>
  <c r="F99" i="7"/>
  <c r="H140" i="7"/>
  <c r="H142" i="7" s="1"/>
  <c r="H143" i="7" s="1"/>
  <c r="H188" i="7" s="1"/>
  <c r="H99" i="7"/>
  <c r="K140" i="7"/>
  <c r="K142" i="7" s="1"/>
  <c r="K143" i="7" s="1"/>
  <c r="K188" i="7" s="1"/>
  <c r="K99" i="7"/>
  <c r="N140" i="7"/>
  <c r="N142" i="7" s="1"/>
  <c r="N143" i="7" s="1"/>
  <c r="N188" i="7" s="1"/>
  <c r="N99" i="7"/>
  <c r="F152" i="7"/>
  <c r="F153" i="7" s="1"/>
  <c r="F110" i="7"/>
  <c r="H152" i="7"/>
  <c r="H153" i="7" s="1"/>
  <c r="H110" i="7"/>
  <c r="J152" i="7"/>
  <c r="J153" i="7" s="1"/>
  <c r="J110" i="7"/>
  <c r="L152" i="7"/>
  <c r="L153" i="7" s="1"/>
  <c r="L110" i="7"/>
  <c r="N152" i="7"/>
  <c r="N153" i="7" s="1"/>
  <c r="N110" i="7"/>
  <c r="D160" i="7"/>
  <c r="D163" i="7" s="1"/>
  <c r="D196" i="7" s="1"/>
  <c r="D154" i="7"/>
  <c r="D156" i="7" s="1"/>
  <c r="D158" i="7" s="1"/>
  <c r="I37" i="6"/>
  <c r="E113" i="7"/>
  <c r="E115" i="7" s="1"/>
  <c r="E70" i="7"/>
  <c r="E72" i="7" s="1"/>
  <c r="I64" i="1"/>
  <c r="I24" i="1"/>
  <c r="E160" i="7"/>
  <c r="E163" i="7" s="1"/>
  <c r="E154" i="7"/>
  <c r="E156" i="7" s="1"/>
  <c r="E158" i="7" s="1"/>
  <c r="I154" i="7"/>
  <c r="K160" i="7"/>
  <c r="K154" i="7"/>
  <c r="K156" i="7" s="1"/>
  <c r="K158" i="7" s="1"/>
  <c r="M160" i="7"/>
  <c r="M154" i="7"/>
  <c r="M156" i="7" s="1"/>
  <c r="M158" i="7" s="1"/>
  <c r="D152" i="7"/>
  <c r="D153" i="7" s="1"/>
  <c r="D110" i="7"/>
  <c r="H107" i="6"/>
  <c r="F69" i="7"/>
  <c r="F25" i="7"/>
  <c r="F26" i="7" s="1"/>
  <c r="F28" i="7" s="1"/>
  <c r="I107" i="6"/>
  <c r="G69" i="7"/>
  <c r="G25" i="7"/>
  <c r="G26" i="7" s="1"/>
  <c r="G28" i="7" s="1"/>
  <c r="E140" i="7"/>
  <c r="E142" i="7" s="1"/>
  <c r="E143" i="7" s="1"/>
  <c r="E188" i="7" s="1"/>
  <c r="E99" i="7"/>
  <c r="G140" i="7"/>
  <c r="G142" i="7" s="1"/>
  <c r="G143" i="7" s="1"/>
  <c r="G188" i="7" s="1"/>
  <c r="G99" i="7"/>
  <c r="J140" i="7"/>
  <c r="J142" i="7" s="1"/>
  <c r="J143" i="7" s="1"/>
  <c r="J188" i="7" s="1"/>
  <c r="J99" i="7"/>
  <c r="M140" i="7"/>
  <c r="M142" i="7" s="1"/>
  <c r="M143" i="7" s="1"/>
  <c r="M188" i="7" s="1"/>
  <c r="M99" i="7"/>
  <c r="O140" i="7"/>
  <c r="O142" i="7" s="1"/>
  <c r="O143" i="7" s="1"/>
  <c r="O188" i="7" s="1"/>
  <c r="O99" i="7"/>
  <c r="F160" i="7"/>
  <c r="F163" i="7" s="1"/>
  <c r="F154" i="7"/>
  <c r="H160" i="7"/>
  <c r="H154" i="7"/>
  <c r="J160" i="7"/>
  <c r="J154" i="7"/>
  <c r="L160" i="7"/>
  <c r="L154" i="7"/>
  <c r="L156" i="7" s="1"/>
  <c r="L158" i="7" s="1"/>
  <c r="N160" i="7"/>
  <c r="N154" i="7"/>
  <c r="N156" i="7" s="1"/>
  <c r="N158" i="7" s="1"/>
  <c r="E152" i="7"/>
  <c r="E153" i="7" s="1"/>
  <c r="E110" i="7"/>
  <c r="G152" i="7"/>
  <c r="G153" i="7" s="1"/>
  <c r="G110" i="7"/>
  <c r="I110" i="7"/>
  <c r="I152" i="7"/>
  <c r="I153" i="7" s="1"/>
  <c r="K110" i="7"/>
  <c r="K152" i="7"/>
  <c r="K153" i="7" s="1"/>
  <c r="M110" i="7"/>
  <c r="M152" i="7"/>
  <c r="M153" i="7" s="1"/>
  <c r="O152" i="7"/>
  <c r="O153" i="7" s="1"/>
  <c r="O110" i="7"/>
  <c r="L65" i="1"/>
  <c r="L57" i="7"/>
  <c r="L64" i="7"/>
  <c r="K75" i="6"/>
  <c r="I63" i="1"/>
  <c r="I23" i="1"/>
  <c r="I140" i="7"/>
  <c r="I142" i="7" s="1"/>
  <c r="I143" i="7" s="1"/>
  <c r="I188" i="7" s="1"/>
  <c r="I99" i="7"/>
  <c r="D65" i="1"/>
  <c r="D66" i="1" s="1"/>
  <c r="D67" i="1" s="1"/>
  <c r="D74" i="1" s="1"/>
  <c r="D57" i="7"/>
  <c r="F65" i="1"/>
  <c r="F66" i="1" s="1"/>
  <c r="F67" i="1" s="1"/>
  <c r="F74" i="1" s="1"/>
  <c r="F64" i="7"/>
  <c r="F57" i="7"/>
  <c r="H65" i="1"/>
  <c r="H66" i="1" s="1"/>
  <c r="H67" i="1" s="1"/>
  <c r="H74" i="1" s="1"/>
  <c r="H57" i="7"/>
  <c r="H64" i="7"/>
  <c r="K65" i="1"/>
  <c r="K57" i="7"/>
  <c r="N65" i="1"/>
  <c r="N66" i="1" s="1"/>
  <c r="N67" i="1" s="1"/>
  <c r="N74" i="1" s="1"/>
  <c r="N64" i="7"/>
  <c r="N57" i="7"/>
  <c r="C30" i="3"/>
  <c r="C16" i="3" s="1"/>
  <c r="C14" i="6" s="1"/>
  <c r="C139" i="7" s="1"/>
  <c r="D16" i="3"/>
  <c r="D14" i="6" s="1"/>
  <c r="D139" i="7" s="1"/>
  <c r="O23" i="4"/>
  <c r="O29" i="7" s="1"/>
  <c r="N23" i="4"/>
  <c r="N29" i="7" s="1"/>
  <c r="G38" i="4"/>
  <c r="G39" i="4" s="1"/>
  <c r="G23" i="4"/>
  <c r="G29" i="7" s="1"/>
  <c r="I25" i="4"/>
  <c r="I25" i="5" s="1"/>
  <c r="G22" i="4"/>
  <c r="G34" i="4" s="1"/>
  <c r="H25" i="4"/>
  <c r="H25" i="5" s="1"/>
  <c r="F22" i="4"/>
  <c r="F34" i="4" s="1"/>
  <c r="F38" i="4"/>
  <c r="F39" i="4" s="1"/>
  <c r="F23" i="4"/>
  <c r="F29" i="7" s="1"/>
  <c r="O47" i="4"/>
  <c r="O51" i="4" s="1"/>
  <c r="O54" i="4" s="1"/>
  <c r="H81" i="6"/>
  <c r="J79" i="6"/>
  <c r="I81" i="6"/>
  <c r="K79" i="6"/>
  <c r="F80" i="6"/>
  <c r="H78" i="6"/>
  <c r="I78" i="6"/>
  <c r="G80" i="6"/>
  <c r="F194" i="7"/>
  <c r="J194" i="7"/>
  <c r="N194" i="7"/>
  <c r="M198" i="7"/>
  <c r="N198" i="7"/>
  <c r="C199" i="7"/>
  <c r="C115" i="7"/>
  <c r="K199" i="7"/>
  <c r="L198" i="7"/>
  <c r="M199" i="7"/>
  <c r="C160" i="7"/>
  <c r="F195" i="7"/>
  <c r="F196" i="7"/>
  <c r="D199" i="7"/>
  <c r="L199" i="7"/>
  <c r="K198" i="7"/>
  <c r="D195" i="7"/>
  <c r="N199" i="7"/>
  <c r="O233" i="7" l="1"/>
  <c r="O70" i="7"/>
  <c r="D20" i="7"/>
  <c r="D26" i="7"/>
  <c r="D28" i="7" s="1"/>
  <c r="F21" i="7"/>
  <c r="F14" i="1"/>
  <c r="D249" i="7"/>
  <c r="D184" i="7"/>
  <c r="H59" i="7"/>
  <c r="H102" i="7" s="1"/>
  <c r="H145" i="7" s="1"/>
  <c r="H191" i="7" s="1"/>
  <c r="H15" i="7"/>
  <c r="G120" i="7"/>
  <c r="H75" i="7"/>
  <c r="H22" i="5"/>
  <c r="H34" i="5" s="1"/>
  <c r="H60" i="6"/>
  <c r="H38" i="5"/>
  <c r="H39" i="5" s="1"/>
  <c r="H23" i="5"/>
  <c r="I22" i="5"/>
  <c r="I34" i="5" s="1"/>
  <c r="I60" i="6"/>
  <c r="I75" i="7"/>
  <c r="I38" i="5"/>
  <c r="I39" i="5" s="1"/>
  <c r="I23" i="5"/>
  <c r="O111" i="7"/>
  <c r="O117" i="7"/>
  <c r="O149" i="7"/>
  <c r="C249" i="7"/>
  <c r="C184" i="7"/>
  <c r="C143" i="7"/>
  <c r="C188" i="7" s="1"/>
  <c r="C55" i="1"/>
  <c r="C186" i="7"/>
  <c r="G14" i="1"/>
  <c r="G21" i="7"/>
  <c r="D233" i="7"/>
  <c r="D70" i="7"/>
  <c r="C154" i="7"/>
  <c r="G58" i="6"/>
  <c r="G73" i="7"/>
  <c r="G154" i="7"/>
  <c r="G250" i="7" s="1"/>
  <c r="F31" i="7"/>
  <c r="F57" i="6"/>
  <c r="F71" i="6" s="1"/>
  <c r="F54" i="1" s="1"/>
  <c r="F65" i="7" s="1"/>
  <c r="F108" i="7" s="1"/>
  <c r="F151" i="7" s="1"/>
  <c r="G31" i="7"/>
  <c r="G57" i="6"/>
  <c r="G71" i="6" s="1"/>
  <c r="G54" i="1" s="1"/>
  <c r="G65" i="7" s="1"/>
  <c r="G108" i="7" s="1"/>
  <c r="G151" i="7" s="1"/>
  <c r="G77" i="7"/>
  <c r="J59" i="7"/>
  <c r="J102" i="7" s="1"/>
  <c r="J145" i="7" s="1"/>
  <c r="J191" i="7" s="1"/>
  <c r="J15" i="7"/>
  <c r="F73" i="7"/>
  <c r="F116" i="7" s="1"/>
  <c r="F119" i="7" s="1"/>
  <c r="F58" i="6"/>
  <c r="O64" i="7"/>
  <c r="C233" i="7"/>
  <c r="C70" i="7"/>
  <c r="E159" i="7"/>
  <c r="E162" i="7" s="1"/>
  <c r="E119" i="7"/>
  <c r="D119" i="7"/>
  <c r="D159" i="7"/>
  <c r="D162" i="7" s="1"/>
  <c r="C159" i="7"/>
  <c r="C162" i="7" s="1"/>
  <c r="C119" i="7"/>
  <c r="E199" i="7"/>
  <c r="L194" i="7"/>
  <c r="H194" i="7"/>
  <c r="E198" i="7"/>
  <c r="D194" i="7"/>
  <c r="K64" i="1"/>
  <c r="K24" i="1"/>
  <c r="N55" i="1"/>
  <c r="N186" i="7"/>
  <c r="N164" i="7"/>
  <c r="N208" i="7" s="1"/>
  <c r="N121" i="7"/>
  <c r="N78" i="7"/>
  <c r="N80" i="7" s="1"/>
  <c r="H55" i="1"/>
  <c r="H186" i="7"/>
  <c r="F55" i="1"/>
  <c r="F186" i="7"/>
  <c r="F164" i="7"/>
  <c r="F208" i="7" s="1"/>
  <c r="F121" i="7"/>
  <c r="F207" i="7" s="1"/>
  <c r="F78" i="7"/>
  <c r="D164" i="7"/>
  <c r="D208" i="7" s="1"/>
  <c r="D121" i="7"/>
  <c r="D78" i="7"/>
  <c r="G112" i="7"/>
  <c r="G70" i="7"/>
  <c r="J107" i="6"/>
  <c r="H69" i="7"/>
  <c r="H25" i="7"/>
  <c r="H26" i="7" s="1"/>
  <c r="H28" i="7" s="1"/>
  <c r="O55" i="1"/>
  <c r="O186" i="7"/>
  <c r="M55" i="1"/>
  <c r="M186" i="7"/>
  <c r="J55" i="1"/>
  <c r="J186" i="7"/>
  <c r="G164" i="7"/>
  <c r="G208" i="7" s="1"/>
  <c r="G121" i="7"/>
  <c r="G207" i="7" s="1"/>
  <c r="G78" i="7"/>
  <c r="E164" i="7"/>
  <c r="E208" i="7" s="1"/>
  <c r="E121" i="7"/>
  <c r="E207" i="7" s="1"/>
  <c r="E78" i="7"/>
  <c r="E84" i="7" s="1"/>
  <c r="K66" i="1"/>
  <c r="K67" i="1" s="1"/>
  <c r="K74" i="1" s="1"/>
  <c r="E80" i="7"/>
  <c r="I66" i="1"/>
  <c r="I67" i="1" s="1"/>
  <c r="I74" i="1" s="1"/>
  <c r="J64" i="1"/>
  <c r="J66" i="1" s="1"/>
  <c r="J67" i="1" s="1"/>
  <c r="J74" i="1" s="1"/>
  <c r="J24" i="1"/>
  <c r="K55" i="1"/>
  <c r="K186" i="7"/>
  <c r="H164" i="7"/>
  <c r="H208" i="7" s="1"/>
  <c r="H121" i="7"/>
  <c r="H207" i="7" s="1"/>
  <c r="H78" i="7"/>
  <c r="D55" i="1"/>
  <c r="D186" i="7"/>
  <c r="I100" i="7"/>
  <c r="I187" i="7" s="1"/>
  <c r="I107" i="7"/>
  <c r="I150" i="7" s="1"/>
  <c r="M75" i="6"/>
  <c r="K63" i="1"/>
  <c r="K23" i="1"/>
  <c r="L55" i="1"/>
  <c r="L186" i="7"/>
  <c r="O100" i="7"/>
  <c r="O187" i="7" s="1"/>
  <c r="O107" i="7"/>
  <c r="O150" i="7" s="1"/>
  <c r="M100" i="7"/>
  <c r="M187" i="7" s="1"/>
  <c r="M107" i="7"/>
  <c r="M150" i="7" s="1"/>
  <c r="J100" i="7"/>
  <c r="J187" i="7" s="1"/>
  <c r="J107" i="7"/>
  <c r="J150" i="7" s="1"/>
  <c r="G100" i="7"/>
  <c r="G187" i="7" s="1"/>
  <c r="G107" i="7"/>
  <c r="G150" i="7" s="1"/>
  <c r="E100" i="7"/>
  <c r="E187" i="7" s="1"/>
  <c r="E107" i="7"/>
  <c r="E150" i="7" s="1"/>
  <c r="I69" i="7"/>
  <c r="I25" i="7"/>
  <c r="I26" i="7" s="1"/>
  <c r="I28" i="7" s="1"/>
  <c r="F112" i="7"/>
  <c r="F70" i="7"/>
  <c r="N100" i="7"/>
  <c r="N187" i="7" s="1"/>
  <c r="N107" i="7"/>
  <c r="N150" i="7" s="1"/>
  <c r="K100" i="7"/>
  <c r="K187" i="7" s="1"/>
  <c r="K107" i="7"/>
  <c r="K150" i="7" s="1"/>
  <c r="H100" i="7"/>
  <c r="H187" i="7" s="1"/>
  <c r="H107" i="7"/>
  <c r="H150" i="7" s="1"/>
  <c r="F100" i="7"/>
  <c r="F187" i="7" s="1"/>
  <c r="F107" i="7"/>
  <c r="F150" i="7" s="1"/>
  <c r="D100" i="7"/>
  <c r="D187" i="7" s="1"/>
  <c r="D107" i="7"/>
  <c r="D150" i="7" s="1"/>
  <c r="I55" i="1"/>
  <c r="I186" i="7"/>
  <c r="L100" i="7"/>
  <c r="L187" i="7" s="1"/>
  <c r="L107" i="7"/>
  <c r="L150" i="7" s="1"/>
  <c r="J75" i="6"/>
  <c r="H63" i="1"/>
  <c r="H23" i="1"/>
  <c r="O121" i="7"/>
  <c r="O164" i="7"/>
  <c r="O208" i="7" s="1"/>
  <c r="O78" i="7"/>
  <c r="G55" i="1"/>
  <c r="G186" i="7"/>
  <c r="E55" i="1"/>
  <c r="E186" i="7"/>
  <c r="E166" i="7"/>
  <c r="J25" i="4"/>
  <c r="J25" i="5" s="1"/>
  <c r="H22" i="4"/>
  <c r="H34" i="4" s="1"/>
  <c r="H38" i="4"/>
  <c r="H39" i="4" s="1"/>
  <c r="H23" i="4"/>
  <c r="H29" i="7" s="1"/>
  <c r="I38" i="4"/>
  <c r="I39" i="4" s="1"/>
  <c r="I23" i="4"/>
  <c r="I29" i="7" s="1"/>
  <c r="K25" i="4"/>
  <c r="K25" i="5" s="1"/>
  <c r="I22" i="4"/>
  <c r="I34" i="4" s="1"/>
  <c r="K78" i="6"/>
  <c r="I80" i="6"/>
  <c r="J81" i="6"/>
  <c r="L79" i="6"/>
  <c r="H80" i="6"/>
  <c r="J78" i="6"/>
  <c r="K81" i="6"/>
  <c r="M79" i="6"/>
  <c r="M194" i="7"/>
  <c r="K194" i="7"/>
  <c r="I194" i="7"/>
  <c r="G194" i="7"/>
  <c r="G196" i="7"/>
  <c r="E194" i="7"/>
  <c r="E196" i="7"/>
  <c r="C194" i="7"/>
  <c r="C163" i="7"/>
  <c r="C196" i="7" s="1"/>
  <c r="M242" i="7"/>
  <c r="M203" i="7"/>
  <c r="E242" i="7"/>
  <c r="E203" i="7"/>
  <c r="N234" i="7"/>
  <c r="N202" i="7"/>
  <c r="N84" i="7"/>
  <c r="N242" i="7"/>
  <c r="N127" i="7"/>
  <c r="N203" i="7"/>
  <c r="K234" i="7"/>
  <c r="K202" i="7"/>
  <c r="L242" i="7"/>
  <c r="L203" i="7"/>
  <c r="D242" i="7"/>
  <c r="D127" i="7"/>
  <c r="D203" i="7"/>
  <c r="M250" i="7"/>
  <c r="K250" i="7"/>
  <c r="I250" i="7"/>
  <c r="E250" i="7"/>
  <c r="C250" i="7"/>
  <c r="C156" i="7"/>
  <c r="L234" i="7"/>
  <c r="L202" i="7"/>
  <c r="K242" i="7"/>
  <c r="K203" i="7"/>
  <c r="C242" i="7"/>
  <c r="C203" i="7"/>
  <c r="M234" i="7"/>
  <c r="M202" i="7"/>
  <c r="E234" i="7"/>
  <c r="E202" i="7"/>
  <c r="N250" i="7"/>
  <c r="L250" i="7"/>
  <c r="J250" i="7"/>
  <c r="H250" i="7"/>
  <c r="F250" i="7"/>
  <c r="D250" i="7"/>
  <c r="O154" i="7" l="1"/>
  <c r="O160" i="7"/>
  <c r="H21" i="7"/>
  <c r="H14" i="1"/>
  <c r="O80" i="7"/>
  <c r="O235" i="7" s="1"/>
  <c r="O237" i="7" s="1"/>
  <c r="F159" i="7"/>
  <c r="F162" i="7" s="1"/>
  <c r="G32" i="7"/>
  <c r="G33" i="7"/>
  <c r="I31" i="7"/>
  <c r="I57" i="6"/>
  <c r="I71" i="6" s="1"/>
  <c r="I54" i="1" s="1"/>
  <c r="I65" i="7" s="1"/>
  <c r="I108" i="7" s="1"/>
  <c r="I151" i="7" s="1"/>
  <c r="J60" i="6"/>
  <c r="J75" i="7"/>
  <c r="J22" i="5"/>
  <c r="J34" i="5" s="1"/>
  <c r="J23" i="5"/>
  <c r="J38" i="5"/>
  <c r="J39" i="5" s="1"/>
  <c r="I14" i="1"/>
  <c r="I21" i="7"/>
  <c r="F32" i="7"/>
  <c r="F33" i="7"/>
  <c r="F76" i="7"/>
  <c r="G56" i="6"/>
  <c r="G70" i="6" s="1"/>
  <c r="G53" i="1" s="1"/>
  <c r="G68" i="6"/>
  <c r="G51" i="1" s="1"/>
  <c r="I73" i="7"/>
  <c r="I116" i="7" s="1"/>
  <c r="I159" i="7" s="1"/>
  <c r="I58" i="6"/>
  <c r="H31" i="7"/>
  <c r="H57" i="6"/>
  <c r="H71" i="6" s="1"/>
  <c r="H54" i="1" s="1"/>
  <c r="H65" i="7" s="1"/>
  <c r="H108" i="7" s="1"/>
  <c r="H151" i="7" s="1"/>
  <c r="F68" i="6"/>
  <c r="F51" i="1" s="1"/>
  <c r="F56" i="6"/>
  <c r="F70" i="6" s="1"/>
  <c r="F53" i="1" s="1"/>
  <c r="H58" i="6"/>
  <c r="H73" i="7"/>
  <c r="H116" i="7" s="1"/>
  <c r="H159" i="7" s="1"/>
  <c r="G116" i="7"/>
  <c r="G76" i="7"/>
  <c r="O241" i="7"/>
  <c r="O113" i="7"/>
  <c r="O72" i="7"/>
  <c r="O198" i="7"/>
  <c r="C198" i="7"/>
  <c r="C72" i="7"/>
  <c r="K60" i="6"/>
  <c r="K75" i="7"/>
  <c r="K23" i="5"/>
  <c r="K22" i="5"/>
  <c r="K34" i="5" s="1"/>
  <c r="K38" i="5"/>
  <c r="K39" i="5" s="1"/>
  <c r="D72" i="7"/>
  <c r="D198" i="7"/>
  <c r="I118" i="7"/>
  <c r="I77" i="7"/>
  <c r="I76" i="7"/>
  <c r="H118" i="7"/>
  <c r="H77" i="7"/>
  <c r="H76" i="7"/>
  <c r="E127" i="7"/>
  <c r="D166" i="7"/>
  <c r="N166" i="7"/>
  <c r="J164" i="7"/>
  <c r="J208" i="7" s="1"/>
  <c r="J121" i="7"/>
  <c r="J207" i="7" s="1"/>
  <c r="J78" i="7"/>
  <c r="M81" i="6"/>
  <c r="M64" i="1"/>
  <c r="M66" i="1" s="1"/>
  <c r="M67" i="1" s="1"/>
  <c r="M74" i="1" s="1"/>
  <c r="M24" i="1"/>
  <c r="L75" i="6"/>
  <c r="J63" i="1"/>
  <c r="J23" i="1"/>
  <c r="F155" i="7"/>
  <c r="F113" i="7"/>
  <c r="I112" i="7"/>
  <c r="I70" i="7"/>
  <c r="I121" i="7"/>
  <c r="I207" i="7" s="1"/>
  <c r="I164" i="7"/>
  <c r="I208" i="7" s="1"/>
  <c r="I78" i="7"/>
  <c r="K121" i="7"/>
  <c r="K164" i="7"/>
  <c r="K78" i="7"/>
  <c r="H112" i="7"/>
  <c r="H70" i="7"/>
  <c r="G72" i="7"/>
  <c r="G198" i="7"/>
  <c r="L81" i="6"/>
  <c r="L64" i="1"/>
  <c r="L66" i="1" s="1"/>
  <c r="L67" i="1" s="1"/>
  <c r="L74" i="1" s="1"/>
  <c r="L24" i="1"/>
  <c r="O207" i="7"/>
  <c r="F72" i="7"/>
  <c r="F198" i="7"/>
  <c r="N75" i="6"/>
  <c r="M63" i="1"/>
  <c r="M23" i="1"/>
  <c r="J69" i="7"/>
  <c r="J25" i="7"/>
  <c r="J26" i="7" s="1"/>
  <c r="J28" i="7" s="1"/>
  <c r="G155" i="7"/>
  <c r="G113" i="7"/>
  <c r="D207" i="7"/>
  <c r="D123" i="7"/>
  <c r="D243" i="7" s="1"/>
  <c r="N207" i="7"/>
  <c r="N123" i="7"/>
  <c r="N243" i="7" s="1"/>
  <c r="E123" i="7"/>
  <c r="E269" i="7" s="1"/>
  <c r="K38" i="4"/>
  <c r="K39" i="4" s="1"/>
  <c r="K23" i="4"/>
  <c r="K29" i="7" s="1"/>
  <c r="M25" i="4"/>
  <c r="M25" i="5" s="1"/>
  <c r="K22" i="4"/>
  <c r="K34" i="4" s="1"/>
  <c r="L25" i="4"/>
  <c r="L25" i="5" s="1"/>
  <c r="J22" i="4"/>
  <c r="J34" i="4" s="1"/>
  <c r="J38" i="4"/>
  <c r="J39" i="4" s="1"/>
  <c r="J23" i="4"/>
  <c r="J29" i="7" s="1"/>
  <c r="J80" i="6"/>
  <c r="L78" i="6"/>
  <c r="L80" i="6" s="1"/>
  <c r="M78" i="6"/>
  <c r="M80" i="6" s="1"/>
  <c r="K80" i="6"/>
  <c r="D200" i="7"/>
  <c r="L200" i="7"/>
  <c r="N200" i="7"/>
  <c r="E268" i="7"/>
  <c r="E235" i="7"/>
  <c r="E237" i="7" s="1"/>
  <c r="E210" i="7"/>
  <c r="E82" i="7"/>
  <c r="C200" i="7"/>
  <c r="C158" i="7"/>
  <c r="E200" i="7"/>
  <c r="N276" i="7"/>
  <c r="N238" i="7"/>
  <c r="N218" i="7"/>
  <c r="E211" i="7"/>
  <c r="E238" i="7"/>
  <c r="E218" i="7"/>
  <c r="K200" i="7"/>
  <c r="M200" i="7"/>
  <c r="D245" i="7"/>
  <c r="D219" i="7"/>
  <c r="N269" i="7"/>
  <c r="N211" i="7"/>
  <c r="N245" i="7"/>
  <c r="N277" i="7"/>
  <c r="N219" i="7"/>
  <c r="N210" i="7"/>
  <c r="N268" i="7"/>
  <c r="N235" i="7"/>
  <c r="N237" i="7" s="1"/>
  <c r="N82" i="7"/>
  <c r="E277" i="7"/>
  <c r="E219" i="7"/>
  <c r="E245" i="7"/>
  <c r="O84" i="7" l="1"/>
  <c r="O234" i="7"/>
  <c r="O202" i="7"/>
  <c r="J118" i="7"/>
  <c r="J77" i="7"/>
  <c r="J76" i="7"/>
  <c r="K73" i="7"/>
  <c r="K116" i="7" s="1"/>
  <c r="K159" i="7" s="1"/>
  <c r="K58" i="6"/>
  <c r="J31" i="7"/>
  <c r="J57" i="6"/>
  <c r="J71" i="6" s="1"/>
  <c r="J54" i="1" s="1"/>
  <c r="J65" i="7" s="1"/>
  <c r="J108" i="7" s="1"/>
  <c r="J151" i="7" s="1"/>
  <c r="O82" i="7"/>
  <c r="K118" i="7"/>
  <c r="K76" i="7"/>
  <c r="K77" i="7"/>
  <c r="O268" i="7"/>
  <c r="L60" i="6"/>
  <c r="L75" i="7"/>
  <c r="L22" i="5"/>
  <c r="L34" i="5" s="1"/>
  <c r="L23" i="5"/>
  <c r="L38" i="5"/>
  <c r="L39" i="5" s="1"/>
  <c r="H162" i="7"/>
  <c r="I162" i="7"/>
  <c r="E243" i="7"/>
  <c r="K21" i="7"/>
  <c r="K14" i="1"/>
  <c r="D234" i="7"/>
  <c r="D84" i="7"/>
  <c r="D202" i="7"/>
  <c r="D80" i="7"/>
  <c r="H68" i="6"/>
  <c r="H51" i="1" s="1"/>
  <c r="H56" i="6"/>
  <c r="H70" i="6" s="1"/>
  <c r="H53" i="1" s="1"/>
  <c r="J58" i="6"/>
  <c r="J73" i="7"/>
  <c r="J116" i="7" s="1"/>
  <c r="J159" i="7" s="1"/>
  <c r="M75" i="7"/>
  <c r="M60" i="6"/>
  <c r="M22" i="5"/>
  <c r="M34" i="5" s="1"/>
  <c r="M38" i="5"/>
  <c r="M39" i="5" s="1"/>
  <c r="M23" i="5"/>
  <c r="H161" i="7"/>
  <c r="H120" i="7"/>
  <c r="H119" i="7"/>
  <c r="O115" i="7"/>
  <c r="O199" i="7"/>
  <c r="O194" i="7"/>
  <c r="O210" i="7"/>
  <c r="K31" i="7"/>
  <c r="K57" i="6"/>
  <c r="K71" i="6" s="1"/>
  <c r="K54" i="1" s="1"/>
  <c r="K65" i="7" s="1"/>
  <c r="K108" i="7" s="1"/>
  <c r="K151" i="7" s="1"/>
  <c r="H32" i="7"/>
  <c r="H33" i="7"/>
  <c r="I33" i="7"/>
  <c r="I32" i="7"/>
  <c r="O156" i="7"/>
  <c r="O250" i="7"/>
  <c r="D211" i="7"/>
  <c r="J14" i="1"/>
  <c r="J21" i="7"/>
  <c r="I161" i="7"/>
  <c r="I119" i="7"/>
  <c r="I120" i="7"/>
  <c r="C202" i="7"/>
  <c r="C234" i="7"/>
  <c r="G159" i="7"/>
  <c r="G162" i="7" s="1"/>
  <c r="G119" i="7"/>
  <c r="I56" i="6"/>
  <c r="I70" i="6" s="1"/>
  <c r="I53" i="1" s="1"/>
  <c r="I68" i="6"/>
  <c r="I51" i="1" s="1"/>
  <c r="N125" i="7"/>
  <c r="D125" i="7"/>
  <c r="E125" i="7"/>
  <c r="G115" i="7"/>
  <c r="G199" i="7"/>
  <c r="O75" i="6"/>
  <c r="N63" i="1"/>
  <c r="N23" i="1"/>
  <c r="F80" i="7"/>
  <c r="F202" i="7"/>
  <c r="F234" i="7"/>
  <c r="F84" i="7"/>
  <c r="L164" i="7"/>
  <c r="L170" i="7" s="1"/>
  <c r="L121" i="7"/>
  <c r="L78" i="7"/>
  <c r="H72" i="7"/>
  <c r="H198" i="7"/>
  <c r="K80" i="7"/>
  <c r="K84" i="7"/>
  <c r="K207" i="7"/>
  <c r="K123" i="7"/>
  <c r="K127" i="7"/>
  <c r="I72" i="7"/>
  <c r="I198" i="7"/>
  <c r="F115" i="7"/>
  <c r="F199" i="7"/>
  <c r="L63" i="1"/>
  <c r="L23" i="1"/>
  <c r="M121" i="7"/>
  <c r="M164" i="7"/>
  <c r="M78" i="7"/>
  <c r="G192" i="7"/>
  <c r="G156" i="7"/>
  <c r="J112" i="7"/>
  <c r="J70" i="7"/>
  <c r="G80" i="7"/>
  <c r="G202" i="7"/>
  <c r="G234" i="7"/>
  <c r="G84" i="7"/>
  <c r="H155" i="7"/>
  <c r="H113" i="7"/>
  <c r="K208" i="7"/>
  <c r="K166" i="7"/>
  <c r="I155" i="7"/>
  <c r="I113" i="7"/>
  <c r="F192" i="7"/>
  <c r="F156" i="7"/>
  <c r="L22" i="4"/>
  <c r="L34" i="4" s="1"/>
  <c r="L38" i="4"/>
  <c r="L39" i="4" s="1"/>
  <c r="L23" i="4"/>
  <c r="L29" i="7" s="1"/>
  <c r="M38" i="4"/>
  <c r="M39" i="4" s="1"/>
  <c r="N25" i="4"/>
  <c r="N25" i="5" s="1"/>
  <c r="M23" i="4"/>
  <c r="M29" i="7" s="1"/>
  <c r="M22" i="4"/>
  <c r="M34" i="4" s="1"/>
  <c r="M251" i="7"/>
  <c r="M204" i="7"/>
  <c r="M170" i="7"/>
  <c r="K251" i="7"/>
  <c r="K204" i="7"/>
  <c r="K170" i="7"/>
  <c r="E251" i="7"/>
  <c r="E204" i="7"/>
  <c r="E170" i="7"/>
  <c r="C251" i="7"/>
  <c r="C204" i="7"/>
  <c r="N251" i="7"/>
  <c r="N204" i="7"/>
  <c r="N170" i="7"/>
  <c r="L251" i="7"/>
  <c r="L204" i="7"/>
  <c r="D251" i="7"/>
  <c r="D204" i="7"/>
  <c r="D170" i="7"/>
  <c r="J56" i="6" l="1"/>
  <c r="J70" i="6" s="1"/>
  <c r="J53" i="1" s="1"/>
  <c r="J68" i="6"/>
  <c r="J51" i="1" s="1"/>
  <c r="L31" i="7"/>
  <c r="L57" i="6"/>
  <c r="L71" i="6" s="1"/>
  <c r="L54" i="1" s="1"/>
  <c r="L65" i="7" s="1"/>
  <c r="L108" i="7" s="1"/>
  <c r="L151" i="7" s="1"/>
  <c r="K68" i="6"/>
  <c r="K51" i="1" s="1"/>
  <c r="K56" i="6"/>
  <c r="K70" i="6" s="1"/>
  <c r="K53" i="1" s="1"/>
  <c r="N75" i="7"/>
  <c r="N60" i="6"/>
  <c r="N22" i="5"/>
  <c r="N34" i="5" s="1"/>
  <c r="N23" i="5"/>
  <c r="N38" i="5"/>
  <c r="N39" i="5" s="1"/>
  <c r="K32" i="7"/>
  <c r="K33" i="7"/>
  <c r="H195" i="7"/>
  <c r="H163" i="7"/>
  <c r="H196" i="7" s="1"/>
  <c r="M58" i="6"/>
  <c r="M73" i="7"/>
  <c r="M116" i="7" s="1"/>
  <c r="M159" i="7" s="1"/>
  <c r="D210" i="7"/>
  <c r="D82" i="7"/>
  <c r="D269" i="7"/>
  <c r="D268" i="7"/>
  <c r="D235" i="7"/>
  <c r="D237" i="7" s="1"/>
  <c r="J161" i="7"/>
  <c r="J120" i="7"/>
  <c r="J119" i="7"/>
  <c r="L14" i="1"/>
  <c r="L21" i="7"/>
  <c r="M31" i="7"/>
  <c r="M57" i="6"/>
  <c r="M71" i="6" s="1"/>
  <c r="M54" i="1" s="1"/>
  <c r="M65" i="7" s="1"/>
  <c r="M108" i="7" s="1"/>
  <c r="M151" i="7" s="1"/>
  <c r="D238" i="7"/>
  <c r="D218" i="7"/>
  <c r="D277" i="7"/>
  <c r="D276" i="7"/>
  <c r="L58" i="6"/>
  <c r="L73" i="7"/>
  <c r="L116" i="7" s="1"/>
  <c r="L159" i="7" s="1"/>
  <c r="I195" i="7"/>
  <c r="I163" i="7"/>
  <c r="I196" i="7" s="1"/>
  <c r="O203" i="7"/>
  <c r="O242" i="7"/>
  <c r="O127" i="7"/>
  <c r="O123" i="7"/>
  <c r="M118" i="7"/>
  <c r="M76" i="7"/>
  <c r="M77" i="7"/>
  <c r="O158" i="7"/>
  <c r="O200" i="7"/>
  <c r="K161" i="7"/>
  <c r="K120" i="7"/>
  <c r="K119" i="7"/>
  <c r="M21" i="7"/>
  <c r="M14" i="1"/>
  <c r="J162" i="7"/>
  <c r="L118" i="7"/>
  <c r="L77" i="7"/>
  <c r="L76" i="7"/>
  <c r="J33" i="7"/>
  <c r="J32" i="7"/>
  <c r="O238" i="7"/>
  <c r="O218" i="7"/>
  <c r="O276" i="7"/>
  <c r="I192" i="7"/>
  <c r="I156" i="7"/>
  <c r="H192" i="7"/>
  <c r="H156" i="7"/>
  <c r="G235" i="7"/>
  <c r="G237" i="7" s="1"/>
  <c r="G82" i="7"/>
  <c r="G268" i="7"/>
  <c r="G210" i="7"/>
  <c r="J155" i="7"/>
  <c r="J113" i="7"/>
  <c r="M208" i="7"/>
  <c r="M166" i="7"/>
  <c r="K277" i="7"/>
  <c r="K245" i="7"/>
  <c r="K219" i="7"/>
  <c r="K268" i="7"/>
  <c r="K210" i="7"/>
  <c r="K235" i="7"/>
  <c r="K237" i="7" s="1"/>
  <c r="K82" i="7"/>
  <c r="H80" i="7"/>
  <c r="H234" i="7"/>
  <c r="H84" i="7"/>
  <c r="H202" i="7"/>
  <c r="L207" i="7"/>
  <c r="L123" i="7"/>
  <c r="L127" i="7"/>
  <c r="F218" i="7"/>
  <c r="F238" i="7"/>
  <c r="O63" i="1"/>
  <c r="O23" i="1"/>
  <c r="G123" i="7"/>
  <c r="G242" i="7"/>
  <c r="G127" i="7"/>
  <c r="G203" i="7"/>
  <c r="F158" i="7"/>
  <c r="F200" i="7"/>
  <c r="I115" i="7"/>
  <c r="I199" i="7"/>
  <c r="H115" i="7"/>
  <c r="H199" i="7"/>
  <c r="G218" i="7"/>
  <c r="G238" i="7"/>
  <c r="J72" i="7"/>
  <c r="J198" i="7"/>
  <c r="G158" i="7"/>
  <c r="G200" i="7"/>
  <c r="M80" i="7"/>
  <c r="M84" i="7"/>
  <c r="M207" i="7"/>
  <c r="M123" i="7"/>
  <c r="M127" i="7"/>
  <c r="M278" i="7" s="1"/>
  <c r="F123" i="7"/>
  <c r="F242" i="7"/>
  <c r="F203" i="7"/>
  <c r="F127" i="7"/>
  <c r="I80" i="7"/>
  <c r="I234" i="7"/>
  <c r="I84" i="7"/>
  <c r="I202" i="7"/>
  <c r="K269" i="7"/>
  <c r="K125" i="7"/>
  <c r="K211" i="7"/>
  <c r="K243" i="7"/>
  <c r="K238" i="7"/>
  <c r="K276" i="7"/>
  <c r="K218" i="7"/>
  <c r="L80" i="7"/>
  <c r="L84" i="7"/>
  <c r="L208" i="7"/>
  <c r="L166" i="7"/>
  <c r="F210" i="7"/>
  <c r="F235" i="7"/>
  <c r="F237" i="7" s="1"/>
  <c r="F268" i="7"/>
  <c r="F82" i="7"/>
  <c r="N22" i="4"/>
  <c r="N34" i="4" s="1"/>
  <c r="N38" i="4"/>
  <c r="N39" i="4" s="1"/>
  <c r="O25" i="4"/>
  <c r="O25" i="5" s="1"/>
  <c r="D252" i="7"/>
  <c r="D254" i="7" s="1"/>
  <c r="D270" i="7"/>
  <c r="D168" i="7"/>
  <c r="D212" i="7" s="1"/>
  <c r="N252" i="7"/>
  <c r="N254" i="7" s="1"/>
  <c r="N270" i="7"/>
  <c r="N168" i="7"/>
  <c r="N212" i="7" s="1"/>
  <c r="E270" i="7"/>
  <c r="E252" i="7"/>
  <c r="E254" i="7" s="1"/>
  <c r="E168" i="7"/>
  <c r="E212" i="7" s="1"/>
  <c r="D278" i="7"/>
  <c r="D220" i="7"/>
  <c r="D255" i="7"/>
  <c r="L278" i="7"/>
  <c r="L220" i="7"/>
  <c r="L255" i="7"/>
  <c r="N278" i="7"/>
  <c r="N220" i="7"/>
  <c r="N255" i="7"/>
  <c r="L252" i="7"/>
  <c r="L254" i="7" s="1"/>
  <c r="L168" i="7"/>
  <c r="L212" i="7" s="1"/>
  <c r="E255" i="7"/>
  <c r="E278" i="7"/>
  <c r="E220" i="7"/>
  <c r="K255" i="7"/>
  <c r="K278" i="7"/>
  <c r="K220" i="7"/>
  <c r="K270" i="7"/>
  <c r="K252" i="7"/>
  <c r="K254" i="7" s="1"/>
  <c r="K168" i="7"/>
  <c r="K212" i="7" s="1"/>
  <c r="M255" i="7"/>
  <c r="M220" i="7"/>
  <c r="M252" i="7"/>
  <c r="M254" i="7" s="1"/>
  <c r="N21" i="7" l="1"/>
  <c r="N14" i="1"/>
  <c r="K195" i="7"/>
  <c r="K163" i="7"/>
  <c r="K196" i="7" s="1"/>
  <c r="J195" i="7"/>
  <c r="J163" i="7"/>
  <c r="J196" i="7" s="1"/>
  <c r="K162" i="7"/>
  <c r="N31" i="7"/>
  <c r="N57" i="6"/>
  <c r="N71" i="6" s="1"/>
  <c r="N54" i="1" s="1"/>
  <c r="N65" i="7" s="1"/>
  <c r="N108" i="7" s="1"/>
  <c r="N151" i="7" s="1"/>
  <c r="N118" i="7"/>
  <c r="N77" i="7"/>
  <c r="O166" i="7"/>
  <c r="O204" i="7"/>
  <c r="O170" i="7"/>
  <c r="O251" i="7"/>
  <c r="M32" i="7"/>
  <c r="M33" i="7"/>
  <c r="L270" i="7"/>
  <c r="M161" i="7"/>
  <c r="M120" i="7"/>
  <c r="M119" i="7"/>
  <c r="L68" i="6"/>
  <c r="L51" i="1" s="1"/>
  <c r="L56" i="6"/>
  <c r="L70" i="6" s="1"/>
  <c r="L53" i="1" s="1"/>
  <c r="L32" i="7"/>
  <c r="L33" i="7"/>
  <c r="O60" i="6"/>
  <c r="O75" i="7"/>
  <c r="O22" i="5"/>
  <c r="O34" i="5" s="1"/>
  <c r="O38" i="5"/>
  <c r="O39" i="5" s="1"/>
  <c r="O23" i="5"/>
  <c r="O269" i="7"/>
  <c r="O211" i="7"/>
  <c r="O243" i="7"/>
  <c r="O125" i="7"/>
  <c r="M162" i="7"/>
  <c r="N73" i="7"/>
  <c r="N116" i="7" s="1"/>
  <c r="N159" i="7" s="1"/>
  <c r="N58" i="6"/>
  <c r="L161" i="7"/>
  <c r="L120" i="7"/>
  <c r="L119" i="7"/>
  <c r="M270" i="7"/>
  <c r="O245" i="7"/>
  <c r="O277" i="7"/>
  <c r="O219" i="7"/>
  <c r="M68" i="6"/>
  <c r="M51" i="1" s="1"/>
  <c r="M56" i="6"/>
  <c r="M70" i="6" s="1"/>
  <c r="M53" i="1" s="1"/>
  <c r="M168" i="7"/>
  <c r="M212" i="7" s="1"/>
  <c r="L210" i="7"/>
  <c r="L235" i="7"/>
  <c r="L237" i="7" s="1"/>
  <c r="L268" i="7"/>
  <c r="L82" i="7"/>
  <c r="F277" i="7"/>
  <c r="F245" i="7"/>
  <c r="F219" i="7"/>
  <c r="M277" i="7"/>
  <c r="M245" i="7"/>
  <c r="M219" i="7"/>
  <c r="M268" i="7"/>
  <c r="M210" i="7"/>
  <c r="M235" i="7"/>
  <c r="M237" i="7" s="1"/>
  <c r="M82" i="7"/>
  <c r="G166" i="7"/>
  <c r="G204" i="7"/>
  <c r="G251" i="7"/>
  <c r="G170" i="7"/>
  <c r="J80" i="7"/>
  <c r="J234" i="7"/>
  <c r="J84" i="7"/>
  <c r="J202" i="7"/>
  <c r="H123" i="7"/>
  <c r="H127" i="7"/>
  <c r="H242" i="7"/>
  <c r="H203" i="7"/>
  <c r="I123" i="7"/>
  <c r="I203" i="7"/>
  <c r="I242" i="7"/>
  <c r="I127" i="7"/>
  <c r="F166" i="7"/>
  <c r="F251" i="7"/>
  <c r="F170" i="7"/>
  <c r="F204" i="7"/>
  <c r="G277" i="7"/>
  <c r="G245" i="7"/>
  <c r="G219" i="7"/>
  <c r="G269" i="7"/>
  <c r="G125" i="7"/>
  <c r="G211" i="7"/>
  <c r="G243" i="7"/>
  <c r="L269" i="7"/>
  <c r="L211" i="7"/>
  <c r="L243" i="7"/>
  <c r="L125" i="7"/>
  <c r="J192" i="7"/>
  <c r="J156" i="7"/>
  <c r="L276" i="7"/>
  <c r="L218" i="7"/>
  <c r="L238" i="7"/>
  <c r="I276" i="7"/>
  <c r="I218" i="7"/>
  <c r="I238" i="7"/>
  <c r="I235" i="7"/>
  <c r="I237" i="7" s="1"/>
  <c r="I82" i="7"/>
  <c r="I268" i="7"/>
  <c r="I210" i="7"/>
  <c r="F243" i="7"/>
  <c r="F125" i="7"/>
  <c r="F269" i="7"/>
  <c r="F211" i="7"/>
  <c r="M269" i="7"/>
  <c r="M125" i="7"/>
  <c r="M211" i="7"/>
  <c r="M243" i="7"/>
  <c r="M238" i="7"/>
  <c r="M276" i="7"/>
  <c r="M218" i="7"/>
  <c r="L245" i="7"/>
  <c r="L219" i="7"/>
  <c r="L277" i="7"/>
  <c r="H238" i="7"/>
  <c r="H218" i="7"/>
  <c r="H268" i="7"/>
  <c r="H82" i="7"/>
  <c r="H210" i="7"/>
  <c r="H235" i="7"/>
  <c r="H237" i="7" s="1"/>
  <c r="J115" i="7"/>
  <c r="J199" i="7"/>
  <c r="H158" i="7"/>
  <c r="H200" i="7"/>
  <c r="I158" i="7"/>
  <c r="I200" i="7"/>
  <c r="O38" i="4"/>
  <c r="O39" i="4" s="1"/>
  <c r="O22" i="4"/>
  <c r="O34" i="4" s="1"/>
  <c r="O84" i="1"/>
  <c r="N84" i="1"/>
  <c r="M84" i="1"/>
  <c r="L84" i="1"/>
  <c r="K84" i="1"/>
  <c r="H84" i="1"/>
  <c r="G84" i="1"/>
  <c r="E84" i="1"/>
  <c r="D84" i="1"/>
  <c r="O44" i="1"/>
  <c r="N44" i="1"/>
  <c r="M44" i="1"/>
  <c r="L44" i="1"/>
  <c r="K44" i="1"/>
  <c r="H44" i="1"/>
  <c r="G44" i="1"/>
  <c r="E44" i="1"/>
  <c r="D44" i="1"/>
  <c r="O6" i="1"/>
  <c r="N6" i="1"/>
  <c r="M6" i="1"/>
  <c r="L6" i="1"/>
  <c r="K6" i="1"/>
  <c r="H6" i="1"/>
  <c r="G6" i="1"/>
  <c r="E6" i="1"/>
  <c r="D6" i="1"/>
  <c r="L195" i="7" l="1"/>
  <c r="L163" i="7"/>
  <c r="L196" i="7" s="1"/>
  <c r="O58" i="6"/>
  <c r="O73" i="7"/>
  <c r="O116" i="7" s="1"/>
  <c r="O159" i="7" s="1"/>
  <c r="N32" i="7"/>
  <c r="N33" i="7"/>
  <c r="N68" i="6"/>
  <c r="N51" i="1" s="1"/>
  <c r="N56" i="6"/>
  <c r="N70" i="6" s="1"/>
  <c r="N53" i="1" s="1"/>
  <c r="O220" i="7"/>
  <c r="O255" i="7"/>
  <c r="O278" i="7"/>
  <c r="O118" i="7"/>
  <c r="O77" i="7"/>
  <c r="O76" i="7"/>
  <c r="O31" i="7"/>
  <c r="O57" i="6"/>
  <c r="O71" i="6" s="1"/>
  <c r="O54" i="1" s="1"/>
  <c r="O65" i="7" s="1"/>
  <c r="O108" i="7" s="1"/>
  <c r="O151" i="7" s="1"/>
  <c r="L162" i="7"/>
  <c r="O21" i="7"/>
  <c r="O14" i="1"/>
  <c r="M195" i="7"/>
  <c r="M163" i="7"/>
  <c r="M196" i="7" s="1"/>
  <c r="N161" i="7"/>
  <c r="N162" i="7" s="1"/>
  <c r="N120" i="7"/>
  <c r="N119" i="7"/>
  <c r="O270" i="7"/>
  <c r="O168" i="7"/>
  <c r="O212" i="7" s="1"/>
  <c r="O252" i="7"/>
  <c r="O254" i="7" s="1"/>
  <c r="N76" i="7"/>
  <c r="J158" i="7"/>
  <c r="J200" i="7"/>
  <c r="F220" i="7"/>
  <c r="F278" i="7"/>
  <c r="F255" i="7"/>
  <c r="F252" i="7"/>
  <c r="F254" i="7" s="1"/>
  <c r="F168" i="7"/>
  <c r="F212" i="7" s="1"/>
  <c r="F270" i="7"/>
  <c r="I269" i="7"/>
  <c r="I125" i="7"/>
  <c r="I211" i="7"/>
  <c r="I243" i="7"/>
  <c r="H243" i="7"/>
  <c r="H125" i="7"/>
  <c r="H269" i="7"/>
  <c r="H211" i="7"/>
  <c r="J238" i="7"/>
  <c r="J276" i="7"/>
  <c r="J218" i="7"/>
  <c r="J210" i="7"/>
  <c r="J235" i="7"/>
  <c r="J237" i="7" s="1"/>
  <c r="J268" i="7"/>
  <c r="J82" i="7"/>
  <c r="G252" i="7"/>
  <c r="G254" i="7" s="1"/>
  <c r="G270" i="7"/>
  <c r="G168" i="7"/>
  <c r="G212" i="7" s="1"/>
  <c r="I166" i="7"/>
  <c r="I204" i="7"/>
  <c r="I251" i="7"/>
  <c r="I170" i="7"/>
  <c r="H166" i="7"/>
  <c r="H170" i="7"/>
  <c r="H204" i="7"/>
  <c r="H251" i="7"/>
  <c r="J123" i="7"/>
  <c r="J127" i="7"/>
  <c r="J242" i="7"/>
  <c r="J203" i="7"/>
  <c r="I219" i="7"/>
  <c r="I277" i="7"/>
  <c r="I245" i="7"/>
  <c r="H277" i="7"/>
  <c r="H245" i="7"/>
  <c r="H219" i="7"/>
  <c r="G255" i="7"/>
  <c r="G220" i="7"/>
  <c r="G278" i="7"/>
  <c r="D18" i="1"/>
  <c r="F18" i="1"/>
  <c r="G18" i="1"/>
  <c r="L18" i="1"/>
  <c r="N18" i="1"/>
  <c r="O18" i="1"/>
  <c r="D19" i="1"/>
  <c r="E19" i="1"/>
  <c r="F19" i="1"/>
  <c r="G19" i="1"/>
  <c r="H19" i="1"/>
  <c r="H21" i="1" s="1"/>
  <c r="I19" i="1"/>
  <c r="J19" i="1"/>
  <c r="K19" i="1"/>
  <c r="L19" i="1"/>
  <c r="M19" i="1"/>
  <c r="N19" i="1"/>
  <c r="N21" i="1" s="1"/>
  <c r="O19" i="1"/>
  <c r="O21" i="1" s="1"/>
  <c r="C58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O26" i="1"/>
  <c r="O27" i="1" s="1"/>
  <c r="D26" i="1"/>
  <c r="D27" i="1" s="1"/>
  <c r="D33" i="1" s="1"/>
  <c r="D34" i="7" s="1"/>
  <c r="K18" i="1"/>
  <c r="J18" i="1"/>
  <c r="H18" i="1"/>
  <c r="C18" i="1"/>
  <c r="M18" i="1"/>
  <c r="I18" i="1"/>
  <c r="E18" i="1"/>
  <c r="G21" i="1" l="1"/>
  <c r="I21" i="1"/>
  <c r="O32" i="7"/>
  <c r="O33" i="7"/>
  <c r="F21" i="1"/>
  <c r="E21" i="1"/>
  <c r="L21" i="1"/>
  <c r="D21" i="1"/>
  <c r="O68" i="6"/>
  <c r="O51" i="1" s="1"/>
  <c r="O56" i="6"/>
  <c r="O70" i="6" s="1"/>
  <c r="O53" i="1" s="1"/>
  <c r="N195" i="7"/>
  <c r="N163" i="7"/>
  <c r="N196" i="7" s="1"/>
  <c r="M21" i="1"/>
  <c r="O161" i="7"/>
  <c r="O119" i="7"/>
  <c r="O120" i="7"/>
  <c r="K21" i="1"/>
  <c r="J21" i="1"/>
  <c r="J269" i="7"/>
  <c r="J211" i="7"/>
  <c r="J243" i="7"/>
  <c r="J125" i="7"/>
  <c r="H270" i="7"/>
  <c r="H252" i="7"/>
  <c r="H254" i="7" s="1"/>
  <c r="H168" i="7"/>
  <c r="H212" i="7" s="1"/>
  <c r="I252" i="7"/>
  <c r="I254" i="7" s="1"/>
  <c r="I270" i="7"/>
  <c r="I168" i="7"/>
  <c r="I212" i="7" s="1"/>
  <c r="J166" i="7"/>
  <c r="J204" i="7"/>
  <c r="J251" i="7"/>
  <c r="J170" i="7"/>
  <c r="C61" i="1"/>
  <c r="C109" i="7"/>
  <c r="J245" i="7"/>
  <c r="J219" i="7"/>
  <c r="J277" i="7"/>
  <c r="H220" i="7"/>
  <c r="H278" i="7"/>
  <c r="H255" i="7"/>
  <c r="I255" i="7"/>
  <c r="I220" i="7"/>
  <c r="I278" i="7"/>
  <c r="D36" i="7"/>
  <c r="D38" i="7" s="1"/>
  <c r="D206" i="7"/>
  <c r="D40" i="7"/>
  <c r="F26" i="1"/>
  <c r="F27" i="1" s="1"/>
  <c r="F33" i="1" s="1"/>
  <c r="F34" i="7" s="1"/>
  <c r="H26" i="1"/>
  <c r="H27" i="1" s="1"/>
  <c r="H33" i="1" s="1"/>
  <c r="H34" i="7" s="1"/>
  <c r="L26" i="1"/>
  <c r="L27" i="1" s="1"/>
  <c r="L33" i="1" s="1"/>
  <c r="L34" i="7" s="1"/>
  <c r="N26" i="1"/>
  <c r="N27" i="1" s="1"/>
  <c r="N33" i="1" s="1"/>
  <c r="N34" i="7" s="1"/>
  <c r="E26" i="1"/>
  <c r="E27" i="1" s="1"/>
  <c r="E33" i="1" s="1"/>
  <c r="E34" i="7" s="1"/>
  <c r="G26" i="1"/>
  <c r="G27" i="1" s="1"/>
  <c r="G33" i="1" s="1"/>
  <c r="G34" i="7" s="1"/>
  <c r="I26" i="1"/>
  <c r="I27" i="1" s="1"/>
  <c r="I33" i="1" s="1"/>
  <c r="I34" i="7" s="1"/>
  <c r="M26" i="1"/>
  <c r="M27" i="1" s="1"/>
  <c r="M33" i="1" s="1"/>
  <c r="M34" i="7" s="1"/>
  <c r="O33" i="1"/>
  <c r="O34" i="7" s="1"/>
  <c r="J26" i="1"/>
  <c r="J27" i="1" s="1"/>
  <c r="J33" i="1" s="1"/>
  <c r="J34" i="7" s="1"/>
  <c r="C26" i="1"/>
  <c r="C27" i="1" s="1"/>
  <c r="C33" i="1" s="1"/>
  <c r="C34" i="7" s="1"/>
  <c r="K26" i="1"/>
  <c r="K27" i="1" s="1"/>
  <c r="K33" i="1" s="1"/>
  <c r="K34" i="7" s="1"/>
  <c r="C66" i="1"/>
  <c r="C67" i="1" s="1"/>
  <c r="C74" i="1" s="1"/>
  <c r="C21" i="1"/>
  <c r="O195" i="7" l="1"/>
  <c r="O163" i="7"/>
  <c r="O196" i="7" s="1"/>
  <c r="O162" i="7"/>
  <c r="C164" i="7"/>
  <c r="C121" i="7"/>
  <c r="C78" i="7"/>
  <c r="C206" i="7"/>
  <c r="C36" i="7"/>
  <c r="C38" i="7" s="1"/>
  <c r="C40" i="7"/>
  <c r="J270" i="7"/>
  <c r="J252" i="7"/>
  <c r="J254" i="7" s="1"/>
  <c r="J168" i="7"/>
  <c r="J212" i="7" s="1"/>
  <c r="C110" i="7"/>
  <c r="C152" i="7"/>
  <c r="C153" i="7" s="1"/>
  <c r="J278" i="7"/>
  <c r="J255" i="7"/>
  <c r="J220" i="7"/>
  <c r="E36" i="7"/>
  <c r="E38" i="7" s="1"/>
  <c r="E206" i="7"/>
  <c r="E40" i="7"/>
  <c r="E276" i="7" s="1"/>
  <c r="O36" i="7"/>
  <c r="O38" i="7" s="1"/>
  <c r="O206" i="7"/>
  <c r="O40" i="7"/>
  <c r="I36" i="7"/>
  <c r="I38" i="7" s="1"/>
  <c r="I206" i="7"/>
  <c r="I40" i="7"/>
  <c r="H36" i="7"/>
  <c r="H38" i="7" s="1"/>
  <c r="H206" i="7"/>
  <c r="H40" i="7"/>
  <c r="H276" i="7" s="1"/>
  <c r="N36" i="7"/>
  <c r="N38" i="7" s="1"/>
  <c r="N206" i="7"/>
  <c r="N40" i="7"/>
  <c r="K36" i="7"/>
  <c r="K38" i="7" s="1"/>
  <c r="K206" i="7"/>
  <c r="K40" i="7"/>
  <c r="J36" i="7"/>
  <c r="J38" i="7" s="1"/>
  <c r="J206" i="7"/>
  <c r="J40" i="7"/>
  <c r="M36" i="7"/>
  <c r="M38" i="7" s="1"/>
  <c r="M206" i="7"/>
  <c r="M40" i="7"/>
  <c r="G36" i="7"/>
  <c r="G38" i="7" s="1"/>
  <c r="G206" i="7"/>
  <c r="G40" i="7"/>
  <c r="G276" i="7" s="1"/>
  <c r="L36" i="7"/>
  <c r="L38" i="7" s="1"/>
  <c r="L206" i="7"/>
  <c r="L40" i="7"/>
  <c r="F36" i="7"/>
  <c r="F38" i="7" s="1"/>
  <c r="F206" i="7"/>
  <c r="F40" i="7"/>
  <c r="F276" i="7" s="1"/>
  <c r="C80" i="7" l="1"/>
  <c r="C84" i="7"/>
  <c r="C208" i="7"/>
  <c r="C166" i="7"/>
  <c r="C170" i="7"/>
  <c r="C207" i="7"/>
  <c r="C127" i="7"/>
  <c r="C123" i="7"/>
  <c r="C219" i="7" l="1"/>
  <c r="C277" i="7"/>
  <c r="C245" i="7"/>
  <c r="C255" i="7"/>
  <c r="C220" i="7"/>
  <c r="C278" i="7"/>
  <c r="C235" i="7"/>
  <c r="C237" i="7" s="1"/>
  <c r="C82" i="7"/>
  <c r="C268" i="7"/>
  <c r="C210" i="7"/>
  <c r="C269" i="7"/>
  <c r="C125" i="7"/>
  <c r="C211" i="7"/>
  <c r="C243" i="7"/>
  <c r="C252" i="7"/>
  <c r="C254" i="7" s="1"/>
  <c r="C270" i="7"/>
  <c r="C168" i="7"/>
  <c r="C212" i="7" s="1"/>
  <c r="C218" i="7"/>
  <c r="C238" i="7"/>
</calcChain>
</file>

<file path=xl/sharedStrings.xml><?xml version="1.0" encoding="utf-8"?>
<sst xmlns="http://schemas.openxmlformats.org/spreadsheetml/2006/main" count="1298" uniqueCount="283">
  <si>
    <t>TRENS TIPOS DE PROJETO E ESTIMATIVA DOS CICLOS DE VIAGEM - HORIZONTE 2010</t>
  </si>
  <si>
    <t>Descriminação</t>
  </si>
  <si>
    <t>Unidades</t>
  </si>
  <si>
    <t>Paises / Empresas / Trechos / Corredor Paranaguá - Antofagasta</t>
  </si>
  <si>
    <t>Brasil</t>
  </si>
  <si>
    <t>Paraguai</t>
  </si>
  <si>
    <t>Argentina</t>
  </si>
  <si>
    <t>Chile</t>
  </si>
  <si>
    <t>ALL - America Logística Latina</t>
  </si>
  <si>
    <t>Ferroeste</t>
  </si>
  <si>
    <t>Fepasa</t>
  </si>
  <si>
    <t>General Belgrano Cargas</t>
  </si>
  <si>
    <t>Ferronor</t>
  </si>
  <si>
    <t>FCAB</t>
  </si>
  <si>
    <t>Paranaguá</t>
  </si>
  <si>
    <t>Pirapó</t>
  </si>
  <si>
    <t>Desvio Ribas</t>
  </si>
  <si>
    <t>Guarapuava</t>
  </si>
  <si>
    <t>Cascavel</t>
  </si>
  <si>
    <t>Encarnación</t>
  </si>
  <si>
    <t>Salta</t>
  </si>
  <si>
    <t>Socompa</t>
  </si>
  <si>
    <t>A Victoria</t>
  </si>
  <si>
    <t>Antofagasta</t>
  </si>
  <si>
    <t>Trens tipos</t>
  </si>
  <si>
    <t>Tipos de locomotivas</t>
  </si>
  <si>
    <t>Locomotiva</t>
  </si>
  <si>
    <t>Tipos de vagões</t>
  </si>
  <si>
    <t>Vagão</t>
  </si>
  <si>
    <t>Número locomotivas</t>
  </si>
  <si>
    <t>loco/trem</t>
  </si>
  <si>
    <t>Número de vagões</t>
  </si>
  <si>
    <t>Vagão/trem</t>
  </si>
  <si>
    <t xml:space="preserve">Peso útil </t>
  </si>
  <si>
    <t>t/trem</t>
  </si>
  <si>
    <t>Peso bruto</t>
  </si>
  <si>
    <t>tb/trem</t>
  </si>
  <si>
    <t>Produção</t>
  </si>
  <si>
    <t>tku/trem</t>
  </si>
  <si>
    <t xml:space="preserve">Comprimento </t>
  </si>
  <si>
    <t>m</t>
  </si>
  <si>
    <t xml:space="preserve">Comprimento do desvio </t>
  </si>
  <si>
    <t xml:space="preserve">Comprimento do trem </t>
  </si>
  <si>
    <t>Distância de marco</t>
  </si>
  <si>
    <t>Folga</t>
  </si>
  <si>
    <t>Comprimento total</t>
  </si>
  <si>
    <t>Velocidades e ciclos de viagem</t>
  </si>
  <si>
    <t xml:space="preserve">Velocidade máxima permitida </t>
  </si>
  <si>
    <t>km/h</t>
  </si>
  <si>
    <t xml:space="preserve">Velocidade comercial média de viagem </t>
  </si>
  <si>
    <t>Percurso médio por viagem ida e volta</t>
  </si>
  <si>
    <t>km</t>
  </si>
  <si>
    <t xml:space="preserve">Tempo de viagem </t>
  </si>
  <si>
    <t>horas</t>
  </si>
  <si>
    <t>Tempo de viagem</t>
  </si>
  <si>
    <t>dias</t>
  </si>
  <si>
    <t>Tempo nos terminais</t>
  </si>
  <si>
    <t>Tempo de permanência na receção</t>
  </si>
  <si>
    <t>Tempo de carregamento ou descarga</t>
  </si>
  <si>
    <t>Tempo de Classificação de vagões</t>
  </si>
  <si>
    <t>Tempo de formação e expedição</t>
  </si>
  <si>
    <t xml:space="preserve">Ciclo total de viagem </t>
  </si>
  <si>
    <t xml:space="preserve">Em 2010, somente os trechos Paranaguá/São Francisco do Sul a Gurapuava e Guarapuava - Cascavel, no Brasil, </t>
  </si>
  <si>
    <t>Salta - Socompa, na Argentina (trem de passageiros) e Socompa - Antofagasta, no Chile, estão em operação.</t>
  </si>
  <si>
    <t>Fonte: Enefer, Consultoria e Projetos Ltda</t>
  </si>
  <si>
    <t>TRENS TIPOS DE PROJETO E ESTIMATIVA DOS CICLOS DE VIAGEM - HORIZONTES DE 2015 A 2045</t>
  </si>
  <si>
    <t>Trens tipos de projeto</t>
  </si>
  <si>
    <t>Tipos de locomotivas (*)</t>
  </si>
  <si>
    <t>Tipos de vagões (*)</t>
  </si>
  <si>
    <t>Peso útil adotado</t>
  </si>
  <si>
    <t>Peso bruto adotado</t>
  </si>
  <si>
    <t>Tempo de permanência na recepção</t>
  </si>
  <si>
    <t>Tempo de serviços de fronteira</t>
  </si>
  <si>
    <t xml:space="preserve">(*) Ou locomotivas equivalentes </t>
  </si>
  <si>
    <t>Nota: O trecho entre Cascavel e Corrientes é novo.</t>
  </si>
  <si>
    <t>TABELA 1</t>
  </si>
  <si>
    <t>TABELA 2</t>
  </si>
  <si>
    <t>TABELA 3</t>
  </si>
  <si>
    <t>S. Fco. do Sul</t>
  </si>
  <si>
    <t>Front. Brasil</t>
  </si>
  <si>
    <t>Iguaçu</t>
  </si>
  <si>
    <t>Eng. Bley</t>
  </si>
  <si>
    <t>Front. Paraguai</t>
  </si>
  <si>
    <t>Front. Argentina</t>
  </si>
  <si>
    <t>J.V. Gonzalez</t>
  </si>
  <si>
    <t>TABELA 4</t>
  </si>
  <si>
    <t>NÚMERO DE TRENS E ESTIMATIVA DAS FROTAS PARA - HORIZONTE 2010</t>
  </si>
  <si>
    <t>Demandas</t>
  </si>
  <si>
    <t>Volume anual</t>
  </si>
  <si>
    <t xml:space="preserve"> t/ano</t>
  </si>
  <si>
    <t>Extensão do trecho</t>
  </si>
  <si>
    <t>Distância média de percurso</t>
  </si>
  <si>
    <t>%</t>
  </si>
  <si>
    <t>Distância média de percurso dos trens</t>
  </si>
  <si>
    <t>Produção anual</t>
  </si>
  <si>
    <t>mil tku</t>
  </si>
  <si>
    <t xml:space="preserve">Locomotiva disponibilidade x utilização </t>
  </si>
  <si>
    <t xml:space="preserve">Vagão disponibilidade x utilização </t>
  </si>
  <si>
    <t>Trens Tipos</t>
  </si>
  <si>
    <t>Peso útil do trem</t>
  </si>
  <si>
    <t>Comprimento do trem</t>
  </si>
  <si>
    <t>Comprimento mínimo dos desvios</t>
  </si>
  <si>
    <t>Número de trens/ano</t>
  </si>
  <si>
    <t>trem/ano</t>
  </si>
  <si>
    <t>Dias úteis/ano</t>
  </si>
  <si>
    <t>dias/ano</t>
  </si>
  <si>
    <t>Número de trens/dia</t>
  </si>
  <si>
    <t>trem/dia</t>
  </si>
  <si>
    <t>Sazonalidade</t>
  </si>
  <si>
    <t>Número de trens/dia com sazonalidade</t>
  </si>
  <si>
    <t xml:space="preserve">Peso médio útil </t>
  </si>
  <si>
    <t>t/vagão</t>
  </si>
  <si>
    <t>Peso médio útil adotado</t>
  </si>
  <si>
    <t xml:space="preserve">Peso médio tara </t>
  </si>
  <si>
    <t>Peso bruto máximo</t>
  </si>
  <si>
    <t>Peso médio bruto adotado</t>
  </si>
  <si>
    <t xml:space="preserve">Ciclos totais de viagem </t>
  </si>
  <si>
    <t>Frota necessária de locomotiva</t>
  </si>
  <si>
    <t>Para o trem tipo</t>
  </si>
  <si>
    <t>loco</t>
  </si>
  <si>
    <t>Manobras</t>
  </si>
  <si>
    <t>Frota total de locomotiva</t>
  </si>
  <si>
    <t>Frota necessária de vagão</t>
  </si>
  <si>
    <t>Frota total de vagão</t>
  </si>
  <si>
    <t>vagão</t>
  </si>
  <si>
    <t>TABELA 5</t>
  </si>
  <si>
    <t>NÚMERO DE TRENS E ESTIMATIVA DAS FROTAS PARA - HORIZONTE 2015</t>
  </si>
  <si>
    <t>TABELA 6</t>
  </si>
  <si>
    <t>NÚMERO DE TRENS E ESTIMATIVA DAS FROTAS PARA - HORIZONTE 2030</t>
  </si>
  <si>
    <t>TABELA 7</t>
  </si>
  <si>
    <t>NÚMERO DE TRENS E ESTIMATIVA DAS FROTAS PARA - HORIZONTE 2045</t>
  </si>
  <si>
    <t>TABELA 8</t>
  </si>
  <si>
    <t>ESTIMATIVA DE NECESSIDADE DE FROTAS</t>
  </si>
  <si>
    <t>Demandas volumes anuais</t>
  </si>
  <si>
    <t>t/ano</t>
  </si>
  <si>
    <t>Produção volumes anuais</t>
  </si>
  <si>
    <t>mil tku/ano</t>
  </si>
  <si>
    <t>Premissas</t>
  </si>
  <si>
    <t>Disponibilidade x utilização da locomotiva</t>
  </si>
  <si>
    <t>Disponibilidade x utilização do vagão</t>
  </si>
  <si>
    <t>Dias úteis</t>
  </si>
  <si>
    <t>Número de trens por dia</t>
  </si>
  <si>
    <t>Horizonte 2015</t>
  </si>
  <si>
    <t>Horizonte 3030</t>
  </si>
  <si>
    <t>Horizonte 2045</t>
  </si>
  <si>
    <t>Número de trens por dia com sazonalidade</t>
  </si>
  <si>
    <t>Necessidade de locomotiva de Linha</t>
  </si>
  <si>
    <t>Necessidade de locomotiva de manobras</t>
  </si>
  <si>
    <t>Necessidade de Vagões</t>
  </si>
  <si>
    <t>TABELA 9</t>
  </si>
  <si>
    <t>NÚMERO DE TRENS E NECESSIDADE DE FROTAS PARA O PATAMARES DE TRANSPORTE (CAPACIDADE/DEMANDA) DOS HORIZONTES DE 2015, 2030 E 2045</t>
  </si>
  <si>
    <t>Horizonte de 2015</t>
  </si>
  <si>
    <t>Patamares capacidade/demanda</t>
  </si>
  <si>
    <t xml:space="preserve">Frota necessária de locomotivas - trem tipo </t>
  </si>
  <si>
    <t>Frota necessária de locomotivas - manobras</t>
  </si>
  <si>
    <t>Frota total de vagões</t>
  </si>
  <si>
    <t>Horizonte de 2030</t>
  </si>
  <si>
    <t>Horizonte de 2045</t>
  </si>
  <si>
    <t>TABELA 11</t>
  </si>
  <si>
    <t>ESTIMATIVA DE AQUISIÇÃO DE FROTAS PARA OS HORIZONTES DE 2014 A 2045</t>
  </si>
  <si>
    <t>Aquisição de locomotivas de linhas</t>
  </si>
  <si>
    <t>Aquisição de locomotiva de manobras</t>
  </si>
  <si>
    <t>Aquisição de  vagões</t>
  </si>
  <si>
    <t>CORREDOR PARANAGUÁ - ANTOFAGASTA</t>
  </si>
  <si>
    <t>PREMISSAS CONSIDERADAS</t>
  </si>
  <si>
    <t xml:space="preserve">Demanda </t>
  </si>
  <si>
    <t>para São Francisco</t>
  </si>
  <si>
    <t>Base ano de 2010</t>
  </si>
  <si>
    <t>Produção 2015</t>
  </si>
  <si>
    <t>Produção 2030</t>
  </si>
  <si>
    <t>Produção 2045</t>
  </si>
  <si>
    <t>Extensão dos trechos 2010</t>
  </si>
  <si>
    <t>Trecho Ipiranga a Desvio Ribas</t>
  </si>
  <si>
    <t>Trecho Iguaçú Pinhais (da ligação para Paranaguá)</t>
  </si>
  <si>
    <t>Variante de Contorno de Curitiba</t>
  </si>
  <si>
    <t>Variante ligando Curitiba a Paranaguá</t>
  </si>
  <si>
    <t>Variante ligando Curitiba Guarapuava a Ipiranga</t>
  </si>
  <si>
    <t>Variantes de Contorno de São Francisco do Sul</t>
  </si>
  <si>
    <t>Variantes de Contorno de Joinville (redução de 6,9 km)</t>
  </si>
  <si>
    <t>Variantes de Contorno de Jaraguá do Sul (27,85 -23,2 = 4,65 km)</t>
  </si>
  <si>
    <t>Ligação Cascavel a Foz de Iguaçú</t>
  </si>
  <si>
    <t>Trecho Foz de Iguaçú a Encarnacion</t>
  </si>
  <si>
    <t xml:space="preserve">Trecho Pirapó - Encarnacion </t>
  </si>
  <si>
    <t>Trecho Encarnacion a Fronteira com a Argentina</t>
  </si>
  <si>
    <t>Trecho Resistência a JC Gonzalez</t>
  </si>
  <si>
    <t>Trecho JC Gonzalez a Salta</t>
  </si>
  <si>
    <t>Trecho Fronteira com a Argentina a Corrientes</t>
  </si>
  <si>
    <t>Extensão dos trechos 2015 a 2045</t>
  </si>
  <si>
    <t>Extensão da Malha da Concessionária</t>
  </si>
  <si>
    <t>Rateio de extensão 2010</t>
  </si>
  <si>
    <t>Rateio de extensão 2015 a 2045</t>
  </si>
  <si>
    <t>Extensão de linha pátios e terminais</t>
  </si>
  <si>
    <t>Locomotivas</t>
  </si>
  <si>
    <t>Tipos</t>
  </si>
  <si>
    <t xml:space="preserve">Potência Motor </t>
  </si>
  <si>
    <t>HP</t>
  </si>
  <si>
    <t>Potência Tração</t>
  </si>
  <si>
    <t xml:space="preserve">Peso bruto </t>
  </si>
  <si>
    <t>t</t>
  </si>
  <si>
    <t xml:space="preserve">Disponibilidade x Utilização </t>
  </si>
  <si>
    <t>Número de eixos</t>
  </si>
  <si>
    <t>eixos</t>
  </si>
  <si>
    <t xml:space="preserve">Comprimento entre engates </t>
  </si>
  <si>
    <t>Frota de manobras 2010</t>
  </si>
  <si>
    <t>unidades</t>
  </si>
  <si>
    <t>Frota de manobras 2015</t>
  </si>
  <si>
    <t>Frota de manobras 2030</t>
  </si>
  <si>
    <t>Frota de manobras 2045</t>
  </si>
  <si>
    <t>Vagões</t>
  </si>
  <si>
    <t xml:space="preserve">Peso médio bruto </t>
  </si>
  <si>
    <t xml:space="preserve">Peso médio líquido </t>
  </si>
  <si>
    <t>Peso médio líquido adotado</t>
  </si>
  <si>
    <t>Comprimento entre engates</t>
  </si>
  <si>
    <t>Trem Tipo 2015 A 2045</t>
  </si>
  <si>
    <t>Número de locomotivas</t>
  </si>
  <si>
    <t>locos/trem</t>
  </si>
  <si>
    <t>vagões/trem</t>
  </si>
  <si>
    <t>Comprimento 2045</t>
  </si>
  <si>
    <t>Velocidades</t>
  </si>
  <si>
    <t xml:space="preserve">Máxima velocidade </t>
  </si>
  <si>
    <t>Velocidade de percurso de viagem média 2010</t>
  </si>
  <si>
    <t>Velocidade de percurso de viagem média 2015 a 2045</t>
  </si>
  <si>
    <t>Velocidade comercial de viagem média 2010</t>
  </si>
  <si>
    <t>Velocidade comercial de viagem média 2015 a 20145</t>
  </si>
  <si>
    <t>Relação velocidade comercial/percurso 2010</t>
  </si>
  <si>
    <t>Relação velocidade comercial/percurso 2015 a 2045</t>
  </si>
  <si>
    <t>Tempos nos Terminais</t>
  </si>
  <si>
    <t>Tempo de permanência do trem na recepção 2010</t>
  </si>
  <si>
    <t>h</t>
  </si>
  <si>
    <t>Tempo de permanência do trem no carregamento ou descarga 2010</t>
  </si>
  <si>
    <t>Tempo de classificação de vagões</t>
  </si>
  <si>
    <t>Tempo de permanência do trem na formação e expedição 2010</t>
  </si>
  <si>
    <t>Tempo do trem no terminal 2010</t>
  </si>
  <si>
    <t>Tempo de permanência do trem na recepção 1015 a 2045</t>
  </si>
  <si>
    <t>Tempo de permanência do trem no carregamento ou descarga 2045</t>
  </si>
  <si>
    <t>Tempo de serviços de fronteiras</t>
  </si>
  <si>
    <t>Tempo de permanência do trem na formação e expedição 2045</t>
  </si>
  <si>
    <t>Tempo do trem no terminal 2015 a 2045</t>
  </si>
  <si>
    <t>Disponibilidade das linhas dos terminais</t>
  </si>
  <si>
    <t>Distância de marco (chave 12:1)</t>
  </si>
  <si>
    <t>Folga entre distância de marco</t>
  </si>
  <si>
    <t>Atraso sobre a velocidade de percurso 2010</t>
  </si>
  <si>
    <t>Atraso sobre a velocidade de percurso 2045</t>
  </si>
  <si>
    <t>Trens por dia de outros que não carga geral</t>
  </si>
  <si>
    <t xml:space="preserve">  Passageiros</t>
  </si>
  <si>
    <t>pares/dia</t>
  </si>
  <si>
    <t xml:space="preserve">  Manutenção</t>
  </si>
  <si>
    <t xml:space="preserve">  Folga</t>
  </si>
  <si>
    <t xml:space="preserve">Dias do ano </t>
  </si>
  <si>
    <t xml:space="preserve">Dias de operação/ano </t>
  </si>
  <si>
    <t>tb</t>
  </si>
  <si>
    <t>PREMISSAS CONSIDERADAS - 2015 A 2045</t>
  </si>
  <si>
    <t>GE C 30</t>
  </si>
  <si>
    <t>GM G22 UB</t>
  </si>
  <si>
    <t xml:space="preserve">Gôndola </t>
  </si>
  <si>
    <t>Peso médio bruto considerado</t>
  </si>
  <si>
    <t>Peso útil</t>
  </si>
  <si>
    <t>Peso médio útil considerado</t>
  </si>
  <si>
    <t xml:space="preserve">Peso média tara </t>
  </si>
  <si>
    <t>Trem Tipo</t>
  </si>
  <si>
    <t>tu/vagão</t>
  </si>
  <si>
    <t>tb/tu</t>
  </si>
  <si>
    <t>Peso bruto total do trem  t</t>
  </si>
  <si>
    <t>Esfôrço trator das locos kgf</t>
  </si>
  <si>
    <t>Resistência total kgf/t</t>
  </si>
  <si>
    <t>Resistência normal kgf/t</t>
  </si>
  <si>
    <t>Resistência de rampa kgf/t</t>
  </si>
  <si>
    <t>Greide Compensado %</t>
  </si>
  <si>
    <t>PREMISSAS CONSIDERADAS - 2010</t>
  </si>
  <si>
    <t>GM GT 22</t>
  </si>
  <si>
    <t>GM G12</t>
  </si>
  <si>
    <t>PATAMARES DE OFERTA/DEMANDA (PRODUÇÃO)</t>
  </si>
  <si>
    <t>Produção / Carregamento dos Trechos</t>
  </si>
  <si>
    <t>Para São Francisco</t>
  </si>
  <si>
    <t xml:space="preserve">Produção  - 2010 </t>
  </si>
  <si>
    <t>Previsão de Produção</t>
  </si>
  <si>
    <t xml:space="preserve">    Horizonte 2015</t>
  </si>
  <si>
    <t xml:space="preserve">    Horizonte 2030</t>
  </si>
  <si>
    <t xml:space="preserve">    Horizonte 2045</t>
  </si>
  <si>
    <t>Previsão de Produção - t/ano</t>
  </si>
  <si>
    <t>Interno</t>
  </si>
  <si>
    <t>Interno MG</t>
  </si>
  <si>
    <t xml:space="preserve">Interno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</si>
</sst>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%"/>
    <numFmt numFmtId="165" formatCode="0.0"/>
    <numFmt numFmtId="166" formatCode="#,##0.0"/>
    <numFmt numFmtId="167" formatCode="#,##0.000"/>
    <numFmt numFmtId="168" formatCode="0.000"/>
    <numFmt numFmtId="169" formatCode="#,##0.00000"/>
  </numFmts>
  <fonts count="7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sz val="12"/>
      <name val="Calibri"/>
      <family val="2"/>
      <scheme val="minor"/>
    </font>
    <font>
      <sz val="10"/>
      <name val="Geneva"/>
    </font>
    <font>
      <sz val="10"/>
      <name val="Arial"/>
      <family val="2"/>
    </font>
    <font>
      <sz val="12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0" fontId="4" fillId="0" borderId="0" applyFont="0" applyFill="0" applyBorder="0" applyAlignment="0" applyProtection="0"/>
    <xf numFmtId="0" fontId="5" fillId="0" borderId="0"/>
  </cellStyleXfs>
  <cellXfs count="192">
    <xf numFmtId="0" fontId="0" fillId="0" borderId="0" xfId="0"/>
    <xf numFmtId="0" fontId="1" fillId="2" borderId="0" xfId="0" applyFont="1" applyFill="1" applyAlignment="1"/>
    <xf numFmtId="0" fontId="2" fillId="2" borderId="0" xfId="0" applyFont="1" applyFill="1"/>
    <xf numFmtId="0" fontId="3" fillId="0" borderId="0" xfId="0" applyFont="1"/>
    <xf numFmtId="0" fontId="1" fillId="2" borderId="1" xfId="0" applyFont="1" applyFill="1" applyBorder="1"/>
    <xf numFmtId="0" fontId="2" fillId="2" borderId="1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3" fontId="2" fillId="2" borderId="0" xfId="0" applyNumberFormat="1" applyFont="1" applyFill="1"/>
    <xf numFmtId="3" fontId="2" fillId="2" borderId="0" xfId="0" applyNumberFormat="1" applyFont="1" applyFill="1" applyAlignment="1">
      <alignment horizontal="right"/>
    </xf>
    <xf numFmtId="0" fontId="2" fillId="2" borderId="6" xfId="0" applyFont="1" applyFill="1" applyBorder="1"/>
    <xf numFmtId="0" fontId="2" fillId="2" borderId="6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4" fontId="2" fillId="2" borderId="0" xfId="0" applyNumberFormat="1" applyFont="1" applyFill="1"/>
    <xf numFmtId="2" fontId="2" fillId="2" borderId="0" xfId="0" applyNumberFormat="1" applyFont="1" applyFill="1"/>
    <xf numFmtId="0" fontId="2" fillId="2" borderId="0" xfId="0" applyFont="1" applyFill="1" applyBorder="1"/>
    <xf numFmtId="2" fontId="2" fillId="2" borderId="0" xfId="0" applyNumberFormat="1" applyFont="1" applyFill="1" applyBorder="1"/>
    <xf numFmtId="4" fontId="2" fillId="2" borderId="6" xfId="0" applyNumberFormat="1" applyFont="1" applyFill="1" applyBorder="1"/>
    <xf numFmtId="0" fontId="2" fillId="2" borderId="4" xfId="0" applyFont="1" applyFill="1" applyBorder="1"/>
    <xf numFmtId="0" fontId="2" fillId="2" borderId="4" xfId="0" applyFont="1" applyFill="1" applyBorder="1" applyAlignment="1">
      <alignment horizontal="center"/>
    </xf>
    <xf numFmtId="4" fontId="2" fillId="2" borderId="4" xfId="0" applyNumberFormat="1" applyFont="1" applyFill="1" applyBorder="1"/>
    <xf numFmtId="2" fontId="2" fillId="2" borderId="4" xfId="0" applyNumberFormat="1" applyFont="1" applyFill="1" applyBorder="1"/>
    <xf numFmtId="2" fontId="2" fillId="2" borderId="6" xfId="0" applyNumberFormat="1" applyFont="1" applyFill="1" applyBorder="1"/>
    <xf numFmtId="0" fontId="2" fillId="2" borderId="1" xfId="0" applyFont="1" applyFill="1" applyBorder="1" applyAlignment="1">
      <alignment horizontal="center"/>
    </xf>
    <xf numFmtId="4" fontId="2" fillId="2" borderId="1" xfId="0" applyNumberFormat="1" applyFont="1" applyFill="1" applyBorder="1"/>
    <xf numFmtId="0" fontId="2" fillId="2" borderId="7" xfId="0" applyFont="1" applyFill="1" applyBorder="1"/>
    <xf numFmtId="0" fontId="2" fillId="0" borderId="0" xfId="0" applyFont="1"/>
    <xf numFmtId="0" fontId="2" fillId="0" borderId="0" xfId="0" applyFont="1" applyFill="1" applyBorder="1"/>
    <xf numFmtId="3" fontId="2" fillId="2" borderId="1" xfId="0" applyNumberFormat="1" applyFont="1" applyFill="1" applyBorder="1" applyAlignment="1">
      <alignment horizontal="right"/>
    </xf>
    <xf numFmtId="0" fontId="1" fillId="2" borderId="4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Border="1"/>
    <xf numFmtId="164" fontId="2" fillId="2" borderId="0" xfId="0" applyNumberFormat="1" applyFont="1" applyFill="1"/>
    <xf numFmtId="165" fontId="2" fillId="2" borderId="0" xfId="0" applyNumberFormat="1" applyFont="1" applyFill="1"/>
    <xf numFmtId="165" fontId="2" fillId="2" borderId="6" xfId="0" applyNumberFormat="1" applyFont="1" applyFill="1" applyBorder="1"/>
    <xf numFmtId="166" fontId="2" fillId="2" borderId="0" xfId="0" applyNumberFormat="1" applyFont="1" applyFill="1"/>
    <xf numFmtId="9" fontId="2" fillId="2" borderId="0" xfId="0" applyNumberFormat="1" applyFont="1" applyFill="1"/>
    <xf numFmtId="166" fontId="2" fillId="0" borderId="0" xfId="0" applyNumberFormat="1" applyFont="1"/>
    <xf numFmtId="1" fontId="2" fillId="2" borderId="0" xfId="0" applyNumberFormat="1" applyFont="1" applyFill="1"/>
    <xf numFmtId="0" fontId="1" fillId="2" borderId="6" xfId="0" applyFont="1" applyFill="1" applyBorder="1"/>
    <xf numFmtId="0" fontId="1" fillId="2" borderId="6" xfId="0" applyFont="1" applyFill="1" applyBorder="1" applyAlignment="1">
      <alignment horizontal="center"/>
    </xf>
    <xf numFmtId="0" fontId="1" fillId="2" borderId="4" xfId="0" applyFont="1" applyFill="1" applyBorder="1"/>
    <xf numFmtId="0" fontId="1" fillId="2" borderId="1" xfId="0" applyFont="1" applyFill="1" applyBorder="1" applyAlignment="1">
      <alignment horizontal="center"/>
    </xf>
    <xf numFmtId="0" fontId="2" fillId="0" borderId="0" xfId="0" applyFont="1" applyBorder="1"/>
    <xf numFmtId="4" fontId="2" fillId="0" borderId="0" xfId="0" applyNumberFormat="1" applyFont="1" applyBorder="1"/>
    <xf numFmtId="4" fontId="2" fillId="0" borderId="0" xfId="0" applyNumberFormat="1" applyFont="1"/>
    <xf numFmtId="165" fontId="2" fillId="2" borderId="0" xfId="0" applyNumberFormat="1" applyFont="1" applyFill="1" applyBorder="1"/>
    <xf numFmtId="0" fontId="2" fillId="2" borderId="2" xfId="0" applyFont="1" applyFill="1" applyBorder="1"/>
    <xf numFmtId="3" fontId="1" fillId="2" borderId="8" xfId="0" applyNumberFormat="1" applyFont="1" applyFill="1" applyBorder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3" fontId="2" fillId="0" borderId="0" xfId="0" applyNumberFormat="1" applyFont="1"/>
    <xf numFmtId="0" fontId="1" fillId="0" borderId="0" xfId="0" applyFont="1"/>
    <xf numFmtId="165" fontId="2" fillId="0" borderId="0" xfId="0" applyNumberFormat="1" applyFont="1"/>
    <xf numFmtId="9" fontId="2" fillId="0" borderId="0" xfId="0" applyNumberFormat="1" applyFont="1"/>
    <xf numFmtId="4" fontId="2" fillId="0" borderId="6" xfId="0" applyNumberFormat="1" applyFont="1" applyBorder="1"/>
    <xf numFmtId="1" fontId="2" fillId="0" borderId="0" xfId="0" applyNumberFormat="1" applyFont="1"/>
    <xf numFmtId="0" fontId="1" fillId="2" borderId="0" xfId="0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3" fontId="2" fillId="0" borderId="1" xfId="0" applyNumberFormat="1" applyFont="1" applyBorder="1"/>
    <xf numFmtId="0" fontId="1" fillId="2" borderId="0" xfId="0" applyFont="1" applyFill="1" applyBorder="1" applyAlignment="1">
      <alignment horizontal="left" vertical="center"/>
    </xf>
    <xf numFmtId="4" fontId="2" fillId="2" borderId="0" xfId="0" applyNumberFormat="1" applyFont="1" applyFill="1" applyBorder="1"/>
    <xf numFmtId="166" fontId="2" fillId="2" borderId="0" xfId="0" applyNumberFormat="1" applyFont="1" applyFill="1" applyBorder="1"/>
    <xf numFmtId="1" fontId="2" fillId="2" borderId="0" xfId="0" applyNumberFormat="1" applyFont="1" applyFill="1" applyBorder="1"/>
    <xf numFmtId="1" fontId="2" fillId="2" borderId="6" xfId="0" applyNumberFormat="1" applyFont="1" applyFill="1" applyBorder="1"/>
    <xf numFmtId="1" fontId="1" fillId="2" borderId="6" xfId="0" applyNumberFormat="1" applyFont="1" applyFill="1" applyBorder="1"/>
    <xf numFmtId="0" fontId="1" fillId="2" borderId="2" xfId="0" applyFont="1" applyFill="1" applyBorder="1"/>
    <xf numFmtId="3" fontId="1" fillId="2" borderId="6" xfId="0" applyNumberFormat="1" applyFont="1" applyFill="1" applyBorder="1"/>
    <xf numFmtId="0" fontId="2" fillId="2" borderId="0" xfId="0" applyFont="1" applyFill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0" borderId="6" xfId="0" applyFont="1" applyBorder="1"/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0" fontId="1" fillId="0" borderId="0" xfId="0" applyFont="1" applyBorder="1"/>
    <xf numFmtId="0" fontId="1" fillId="0" borderId="0" xfId="0" applyFont="1" applyAlignment="1">
      <alignment horizontal="center"/>
    </xf>
    <xf numFmtId="3" fontId="1" fillId="0" borderId="0" xfId="0" applyNumberFormat="1" applyFont="1" applyFill="1"/>
    <xf numFmtId="0" fontId="1" fillId="0" borderId="0" xfId="0" applyFont="1" applyBorder="1" applyAlignment="1">
      <alignment horizontal="center"/>
    </xf>
    <xf numFmtId="3" fontId="1" fillId="0" borderId="0" xfId="0" applyNumberFormat="1" applyFont="1" applyFill="1" applyAlignment="1">
      <alignment horizontal="right"/>
    </xf>
    <xf numFmtId="4" fontId="1" fillId="0" borderId="0" xfId="0" applyNumberFormat="1" applyFont="1" applyFill="1" applyAlignment="1">
      <alignment horizontal="right"/>
    </xf>
    <xf numFmtId="167" fontId="1" fillId="0" borderId="0" xfId="0" applyNumberFormat="1" applyFont="1" applyFill="1" applyAlignment="1">
      <alignment horizontal="right"/>
    </xf>
    <xf numFmtId="168" fontId="1" fillId="0" borderId="0" xfId="2" applyNumberFormat="1" applyFont="1" applyFill="1"/>
    <xf numFmtId="4" fontId="1" fillId="0" borderId="0" xfId="2" applyNumberFormat="1" applyFont="1" applyFill="1"/>
    <xf numFmtId="2" fontId="1" fillId="0" borderId="0" xfId="2" applyNumberFormat="1" applyFont="1" applyFill="1"/>
    <xf numFmtId="10" fontId="1" fillId="0" borderId="0" xfId="2" applyNumberFormat="1" applyFont="1" applyFill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3" fontId="1" fillId="0" borderId="0" xfId="0" applyNumberFormat="1" applyFont="1"/>
    <xf numFmtId="0" fontId="1" fillId="0" borderId="0" xfId="0" applyFont="1" applyAlignment="1">
      <alignment horizontal="right" vertical="center"/>
    </xf>
    <xf numFmtId="165" fontId="1" fillId="0" borderId="0" xfId="0" applyNumberFormat="1" applyFont="1"/>
    <xf numFmtId="2" fontId="1" fillId="0" borderId="0" xfId="0" applyNumberFormat="1" applyFont="1"/>
    <xf numFmtId="165" fontId="1" fillId="0" borderId="0" xfId="0" applyNumberFormat="1" applyFont="1" applyFill="1"/>
    <xf numFmtId="0" fontId="1" fillId="0" borderId="0" xfId="0" applyFont="1" applyAlignment="1">
      <alignment horizontal="right"/>
    </xf>
    <xf numFmtId="165" fontId="1" fillId="3" borderId="0" xfId="0" applyNumberFormat="1" applyFont="1" applyFill="1"/>
    <xf numFmtId="0" fontId="1" fillId="0" borderId="0" xfId="0" applyFont="1" applyFill="1"/>
    <xf numFmtId="0" fontId="1" fillId="0" borderId="0" xfId="0" applyFont="1" applyAlignment="1">
      <alignment horizontal="left"/>
    </xf>
    <xf numFmtId="168" fontId="1" fillId="0" borderId="0" xfId="0" applyNumberFormat="1" applyFont="1"/>
    <xf numFmtId="166" fontId="1" fillId="0" borderId="0" xfId="0" applyNumberFormat="1" applyFont="1"/>
    <xf numFmtId="3" fontId="1" fillId="0" borderId="0" xfId="0" applyNumberFormat="1" applyFont="1" applyBorder="1" applyAlignment="1">
      <alignment horizontal="right"/>
    </xf>
    <xf numFmtId="3" fontId="1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3" fontId="1" fillId="0" borderId="0" xfId="0" applyNumberFormat="1" applyFont="1" applyBorder="1"/>
    <xf numFmtId="0" fontId="1" fillId="0" borderId="0" xfId="0" applyFont="1" applyFill="1" applyAlignment="1">
      <alignment horizontal="right" vertical="center"/>
    </xf>
    <xf numFmtId="3" fontId="1" fillId="4" borderId="0" xfId="0" applyNumberFormat="1" applyFont="1" applyFill="1"/>
    <xf numFmtId="0" fontId="1" fillId="4" borderId="0" xfId="0" applyFont="1" applyFill="1" applyAlignment="1">
      <alignment horizontal="right" vertical="center"/>
    </xf>
    <xf numFmtId="0" fontId="1" fillId="4" borderId="0" xfId="0" applyFont="1" applyFill="1"/>
    <xf numFmtId="165" fontId="1" fillId="4" borderId="0" xfId="0" applyNumberFormat="1" applyFont="1" applyFill="1"/>
    <xf numFmtId="165" fontId="1" fillId="4" borderId="0" xfId="0" applyNumberFormat="1" applyFont="1" applyFill="1" applyAlignment="1">
      <alignment horizontal="right" vertical="center"/>
    </xf>
    <xf numFmtId="166" fontId="1" fillId="0" borderId="0" xfId="0" applyNumberFormat="1" applyFont="1" applyFill="1"/>
    <xf numFmtId="0" fontId="2" fillId="0" borderId="0" xfId="0" applyFont="1" applyFill="1"/>
    <xf numFmtId="0" fontId="1" fillId="3" borderId="0" xfId="0" applyFont="1" applyFill="1" applyAlignment="1">
      <alignment horizontal="center"/>
    </xf>
    <xf numFmtId="0" fontId="2" fillId="0" borderId="4" xfId="0" applyFont="1" applyBorder="1"/>
    <xf numFmtId="3" fontId="1" fillId="0" borderId="4" xfId="0" applyNumberFormat="1" applyFont="1" applyBorder="1"/>
    <xf numFmtId="2" fontId="1" fillId="0" borderId="5" xfId="0" applyNumberFormat="1" applyFont="1" applyBorder="1" applyAlignment="1">
      <alignment horizontal="center"/>
    </xf>
    <xf numFmtId="3" fontId="1" fillId="0" borderId="5" xfId="0" applyNumberFormat="1" applyFont="1" applyBorder="1"/>
    <xf numFmtId="2" fontId="1" fillId="0" borderId="0" xfId="0" applyNumberFormat="1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3" fontId="1" fillId="0" borderId="6" xfId="0" applyNumberFormat="1" applyFont="1" applyBorder="1"/>
    <xf numFmtId="168" fontId="1" fillId="0" borderId="5" xfId="0" applyNumberFormat="1" applyFont="1" applyBorder="1"/>
    <xf numFmtId="168" fontId="1" fillId="0" borderId="0" xfId="0" applyNumberFormat="1" applyFont="1" applyBorder="1"/>
    <xf numFmtId="168" fontId="1" fillId="0" borderId="6" xfId="0" applyNumberFormat="1" applyFont="1" applyBorder="1"/>
    <xf numFmtId="168" fontId="1" fillId="0" borderId="4" xfId="0" applyNumberFormat="1" applyFont="1" applyBorder="1"/>
    <xf numFmtId="2" fontId="1" fillId="0" borderId="5" xfId="0" applyNumberFormat="1" applyFont="1" applyBorder="1"/>
    <xf numFmtId="2" fontId="1" fillId="0" borderId="0" xfId="0" applyNumberFormat="1" applyFont="1" applyBorder="1"/>
    <xf numFmtId="2" fontId="1" fillId="0" borderId="6" xfId="0" applyNumberFormat="1" applyFont="1" applyBorder="1"/>
    <xf numFmtId="2" fontId="1" fillId="0" borderId="0" xfId="0" applyNumberFormat="1" applyFont="1" applyFill="1"/>
    <xf numFmtId="4" fontId="2" fillId="0" borderId="0" xfId="0" applyNumberFormat="1" applyFont="1" applyFill="1"/>
    <xf numFmtId="0" fontId="6" fillId="0" borderId="0" xfId="0" applyFont="1"/>
    <xf numFmtId="3" fontId="1" fillId="3" borderId="5" xfId="0" applyNumberFormat="1" applyFont="1" applyFill="1" applyBorder="1"/>
    <xf numFmtId="0" fontId="1" fillId="0" borderId="9" xfId="0" applyFont="1" applyBorder="1"/>
    <xf numFmtId="0" fontId="1" fillId="0" borderId="5" xfId="0" applyFont="1" applyBorder="1" applyAlignment="1">
      <alignment horizontal="center"/>
    </xf>
    <xf numFmtId="3" fontId="1" fillId="3" borderId="5" xfId="0" applyNumberFormat="1" applyFont="1" applyFill="1" applyBorder="1" applyAlignment="1">
      <alignment horizontal="right"/>
    </xf>
    <xf numFmtId="169" fontId="1" fillId="5" borderId="5" xfId="0" applyNumberFormat="1" applyFont="1" applyFill="1" applyBorder="1" applyAlignment="1">
      <alignment horizontal="right"/>
    </xf>
    <xf numFmtId="169" fontId="1" fillId="4" borderId="5" xfId="0" applyNumberFormat="1" applyFont="1" applyFill="1" applyBorder="1" applyAlignment="1">
      <alignment horizontal="right"/>
    </xf>
    <xf numFmtId="3" fontId="1" fillId="3" borderId="10" xfId="0" applyNumberFormat="1" applyFont="1" applyFill="1" applyBorder="1" applyAlignment="1">
      <alignment horizontal="right"/>
    </xf>
    <xf numFmtId="0" fontId="1" fillId="0" borderId="11" xfId="0" applyFont="1" applyBorder="1"/>
    <xf numFmtId="3" fontId="1" fillId="0" borderId="0" xfId="0" applyNumberFormat="1" applyFont="1" applyFill="1" applyBorder="1"/>
    <xf numFmtId="3" fontId="1" fillId="0" borderId="7" xfId="0" applyNumberFormat="1" applyFont="1" applyFill="1" applyBorder="1" applyAlignment="1">
      <alignment horizontal="right"/>
    </xf>
    <xf numFmtId="3" fontId="1" fillId="0" borderId="7" xfId="0" applyNumberFormat="1" applyFont="1" applyBorder="1" applyAlignment="1">
      <alignment horizontal="right"/>
    </xf>
    <xf numFmtId="0" fontId="1" fillId="0" borderId="12" xfId="0" applyFont="1" applyBorder="1"/>
    <xf numFmtId="0" fontId="1" fillId="0" borderId="6" xfId="0" applyFont="1" applyBorder="1" applyAlignment="1">
      <alignment horizontal="center"/>
    </xf>
    <xf numFmtId="3" fontId="1" fillId="0" borderId="6" xfId="0" applyNumberFormat="1" applyFont="1" applyFill="1" applyBorder="1" applyAlignment="1">
      <alignment horizontal="right"/>
    </xf>
    <xf numFmtId="3" fontId="1" fillId="0" borderId="6" xfId="0" applyNumberFormat="1" applyFont="1" applyFill="1" applyBorder="1"/>
    <xf numFmtId="3" fontId="1" fillId="0" borderId="6" xfId="0" applyNumberFormat="1" applyFont="1" applyBorder="1" applyAlignment="1">
      <alignment horizontal="right"/>
    </xf>
    <xf numFmtId="3" fontId="1" fillId="0" borderId="13" xfId="0" applyNumberFormat="1" applyFont="1" applyBorder="1" applyAlignment="1">
      <alignment horizontal="right"/>
    </xf>
    <xf numFmtId="3" fontId="1" fillId="0" borderId="5" xfId="0" applyNumberFormat="1" applyFont="1" applyBorder="1" applyAlignment="1">
      <alignment horizontal="right"/>
    </xf>
    <xf numFmtId="3" fontId="1" fillId="0" borderId="10" xfId="0" applyNumberFormat="1" applyFont="1" applyBorder="1" applyAlignment="1">
      <alignment horizontal="right"/>
    </xf>
    <xf numFmtId="0" fontId="2" fillId="0" borderId="13" xfId="0" applyFont="1" applyBorder="1"/>
    <xf numFmtId="0" fontId="0" fillId="0" borderId="0" xfId="0" applyFill="1"/>
    <xf numFmtId="0" fontId="2" fillId="0" borderId="6" xfId="0" applyFont="1" applyFill="1" applyBorder="1"/>
    <xf numFmtId="0" fontId="1" fillId="0" borderId="4" xfId="0" applyFont="1" applyFill="1" applyBorder="1" applyAlignment="1">
      <alignment horizontal="center"/>
    </xf>
    <xf numFmtId="0" fontId="1" fillId="0" borderId="4" xfId="0" applyFont="1" applyFill="1" applyBorder="1"/>
    <xf numFmtId="0" fontId="1" fillId="0" borderId="5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9" fontId="1" fillId="0" borderId="0" xfId="0" applyNumberFormat="1" applyFont="1" applyFill="1"/>
    <xf numFmtId="165" fontId="1" fillId="0" borderId="0" xfId="0" applyNumberFormat="1" applyFont="1" applyFill="1" applyAlignment="1">
      <alignment horizontal="right"/>
    </xf>
    <xf numFmtId="165" fontId="1" fillId="0" borderId="4" xfId="0" applyNumberFormat="1" applyFont="1" applyFill="1" applyBorder="1"/>
    <xf numFmtId="0" fontId="1" fillId="0" borderId="9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</cellXfs>
  <cellStyles count="3">
    <cellStyle name="Comma_Incomesn" xfId="1"/>
    <cellStyle name="Normal" xfId="0" builtinId="0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final%2014Sep2006\Main%20report%20&amp;%20anextures\FTP%20-%20Collection\Main%20Summar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AssumptionsIAnewJ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NacalaIAnewJu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BNDES%20E2\PRODUTOS\Produto%209%20Custos\Custos%20CVLP%20%20Paranagu&#225;%20Antofagasta%2013.04.11%20Garanti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lientes%202010%20e%202011\BNDES%20E2\PRODUTOS\Produto%209%20Custos\Custos%20CVLP%20%20Paranagu&#225;%20Antofagasta%2013.04.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Distance Table"/>
      <sheetName val="Trackwork Quantities"/>
      <sheetName val="Earthworks Quantities"/>
      <sheetName val="Key Milestone Date Tables"/>
      <sheetName val="Design Volume File"/>
      <sheetName val="Bridges and Culverts Summary"/>
      <sheetName val="Section7 Regrade"/>
      <sheetName val="Track Unit Costs"/>
      <sheetName val="Track Unit Costs 45kg"/>
    </sheetNames>
    <sheetDataSet>
      <sheetData sheetId="0" refreshError="1"/>
      <sheetData sheetId="1">
        <row r="5">
          <cell r="D5">
            <v>60.27</v>
          </cell>
        </row>
        <row r="7">
          <cell r="C7">
            <v>759.29899999999998</v>
          </cell>
          <cell r="D7">
            <v>713.93399999999997</v>
          </cell>
        </row>
        <row r="9">
          <cell r="C9">
            <v>612.20899999999995</v>
          </cell>
          <cell r="D9">
            <v>535.46799999999996</v>
          </cell>
        </row>
        <row r="41">
          <cell r="F41">
            <v>73.599999999999994</v>
          </cell>
        </row>
        <row r="43">
          <cell r="F43">
            <v>141.655</v>
          </cell>
        </row>
        <row r="53">
          <cell r="F53">
            <v>29.355</v>
          </cell>
        </row>
        <row r="54">
          <cell r="F54">
            <v>8.3559999999999999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1">
          <cell r="E21">
            <v>42.629999999999995</v>
          </cell>
        </row>
      </sheetData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cala"/>
      <sheetName val="Ramp-up"/>
      <sheetName val="Nacala Distance"/>
      <sheetName val="Nacala Cylcle"/>
    </sheetNames>
    <sheetDataSet>
      <sheetData sheetId="0"/>
      <sheetData sheetId="1"/>
      <sheetData sheetId="2"/>
      <sheetData sheetId="3">
        <row r="21">
          <cell r="F21">
            <v>61.050000000000004</v>
          </cell>
          <cell r="G21">
            <v>61.050000000000004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Invest sum"/>
      <sheetName val="REhab Bridge"/>
      <sheetName val="Contruction Transport"/>
      <sheetName val="Construct Supervision"/>
      <sheetName val="Startup Team"/>
      <sheetName val="Rollstock"/>
      <sheetName val="Vehicles"/>
      <sheetName val="Provisions"/>
      <sheetName val="Mechanical maintenance"/>
      <sheetName val="Infra maintenance"/>
      <sheetName val="Telecom&amp; Signals"/>
      <sheetName val="Elec&amp;Water"/>
      <sheetName val="Logistical Management"/>
      <sheetName val="Locals"/>
      <sheetName val="Expats"/>
      <sheetName val="Staffing"/>
      <sheetName val="Staffing Corporate"/>
      <sheetName val="Staffing Outsourced"/>
      <sheetName val="Staff Summary"/>
      <sheetName val="Insurance &amp; security"/>
      <sheetName val="Inc_expen"/>
      <sheetName val="Cash"/>
      <sheetName val="Concession Fee"/>
      <sheetName val="Fixed Assets"/>
      <sheetName val="Salary Structu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5">
          <cell r="L75">
            <v>1162892.3076923077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">
          <cell r="C3" t="str">
            <v>Ramp-up of numbers</v>
          </cell>
          <cell r="I3" t="str">
            <v>Ramp-up of cost</v>
          </cell>
        </row>
        <row r="4">
          <cell r="B4" t="str">
            <v>Department</v>
          </cell>
          <cell r="C4">
            <v>2007</v>
          </cell>
          <cell r="D4">
            <v>2008</v>
          </cell>
          <cell r="E4">
            <v>2009</v>
          </cell>
          <cell r="F4">
            <v>2010</v>
          </cell>
          <cell r="G4">
            <v>2011</v>
          </cell>
          <cell r="H4">
            <v>2012</v>
          </cell>
          <cell r="I4">
            <v>2007</v>
          </cell>
          <cell r="J4">
            <v>2008</v>
          </cell>
          <cell r="K4">
            <v>2009</v>
          </cell>
          <cell r="L4">
            <v>2010</v>
          </cell>
          <cell r="M4">
            <v>2011</v>
          </cell>
          <cell r="N4">
            <v>2012</v>
          </cell>
        </row>
        <row r="6">
          <cell r="B6" t="str">
            <v>Board</v>
          </cell>
          <cell r="C6">
            <v>2</v>
          </cell>
          <cell r="D6">
            <v>2</v>
          </cell>
          <cell r="E6">
            <v>5</v>
          </cell>
          <cell r="F6">
            <v>5</v>
          </cell>
          <cell r="G6">
            <v>5</v>
          </cell>
          <cell r="H6">
            <v>5</v>
          </cell>
        </row>
        <row r="8">
          <cell r="B8" t="str">
            <v>MD &amp; Management Support</v>
          </cell>
          <cell r="C8">
            <v>0</v>
          </cell>
          <cell r="D8">
            <v>0</v>
          </cell>
          <cell r="E8">
            <v>12</v>
          </cell>
          <cell r="F8">
            <v>14</v>
          </cell>
          <cell r="G8">
            <v>14</v>
          </cell>
          <cell r="H8">
            <v>14</v>
          </cell>
          <cell r="I8">
            <v>0</v>
          </cell>
          <cell r="J8">
            <v>0</v>
          </cell>
          <cell r="K8">
            <v>189204.76055014011</v>
          </cell>
          <cell r="L8">
            <v>407112.69052364788</v>
          </cell>
          <cell r="M8">
            <v>407112.69052364788</v>
          </cell>
          <cell r="N8">
            <v>407112.69052364788</v>
          </cell>
        </row>
        <row r="10">
          <cell r="B10" t="str">
            <v>Human Resources</v>
          </cell>
          <cell r="C10">
            <v>0</v>
          </cell>
          <cell r="D10">
            <v>0</v>
          </cell>
          <cell r="E10">
            <v>18</v>
          </cell>
          <cell r="F10">
            <v>27</v>
          </cell>
          <cell r="G10">
            <v>27</v>
          </cell>
          <cell r="H10">
            <v>27</v>
          </cell>
          <cell r="I10">
            <v>0</v>
          </cell>
          <cell r="J10">
            <v>0</v>
          </cell>
          <cell r="K10">
            <v>192852.51753250996</v>
          </cell>
          <cell r="L10">
            <v>405336.96128978813</v>
          </cell>
          <cell r="M10">
            <v>405336.96128978813</v>
          </cell>
          <cell r="N10">
            <v>405336.96128978813</v>
          </cell>
        </row>
        <row r="12">
          <cell r="B12" t="str">
            <v>Finance</v>
          </cell>
          <cell r="C12">
            <v>0</v>
          </cell>
          <cell r="D12">
            <v>0</v>
          </cell>
          <cell r="E12">
            <v>17</v>
          </cell>
          <cell r="F12">
            <v>25</v>
          </cell>
          <cell r="G12">
            <v>28</v>
          </cell>
          <cell r="H12">
            <v>28</v>
          </cell>
          <cell r="I12">
            <v>0</v>
          </cell>
          <cell r="J12">
            <v>0</v>
          </cell>
          <cell r="K12">
            <v>184828.82265062584</v>
          </cell>
          <cell r="L12">
            <v>396176.23121496302</v>
          </cell>
          <cell r="M12">
            <v>408735.24198151752</v>
          </cell>
          <cell r="N12">
            <v>408735.24198151752</v>
          </cell>
        </row>
        <row r="14">
          <cell r="B14" t="str">
            <v>Marketing</v>
          </cell>
          <cell r="C14">
            <v>0</v>
          </cell>
          <cell r="D14">
            <v>0</v>
          </cell>
          <cell r="E14">
            <v>9</v>
          </cell>
          <cell r="F14">
            <v>9</v>
          </cell>
          <cell r="G14">
            <v>9</v>
          </cell>
          <cell r="H14">
            <v>9</v>
          </cell>
          <cell r="I14">
            <v>0</v>
          </cell>
          <cell r="J14">
            <v>0</v>
          </cell>
          <cell r="K14">
            <v>53337.076731115725</v>
          </cell>
          <cell r="L14">
            <v>53337.076731115725</v>
          </cell>
          <cell r="M14">
            <v>53337.076731115725</v>
          </cell>
          <cell r="N14">
            <v>53337.076731115725</v>
          </cell>
        </row>
        <row r="16">
          <cell r="B16" t="str">
            <v>Sub-Total CVRD Coal</v>
          </cell>
          <cell r="C16">
            <v>2</v>
          </cell>
          <cell r="D16">
            <v>2</v>
          </cell>
          <cell r="E16">
            <v>61</v>
          </cell>
          <cell r="F16">
            <v>80</v>
          </cell>
          <cell r="G16">
            <v>83</v>
          </cell>
          <cell r="H16">
            <v>83</v>
          </cell>
          <cell r="I16">
            <v>0</v>
          </cell>
          <cell r="J16">
            <v>0</v>
          </cell>
          <cell r="K16">
            <v>620223.17746439157</v>
          </cell>
          <cell r="L16">
            <v>1261962.959759515</v>
          </cell>
          <cell r="M16">
            <v>1274521.9705260694</v>
          </cell>
          <cell r="N16">
            <v>1274521.9705260694</v>
          </cell>
        </row>
        <row r="18">
          <cell r="B18" t="str">
            <v>CVRD COAL Staff:</v>
          </cell>
        </row>
        <row r="20">
          <cell r="B20" t="str">
            <v>Infrastructure</v>
          </cell>
          <cell r="C20">
            <v>0</v>
          </cell>
          <cell r="D20">
            <v>0</v>
          </cell>
          <cell r="E20">
            <v>75</v>
          </cell>
          <cell r="F20">
            <v>79</v>
          </cell>
          <cell r="G20">
            <v>79</v>
          </cell>
          <cell r="H20">
            <v>79</v>
          </cell>
          <cell r="I20">
            <v>0</v>
          </cell>
          <cell r="J20">
            <v>0</v>
          </cell>
          <cell r="K20">
            <v>746619.83817829634</v>
          </cell>
          <cell r="L20">
            <v>1059819.7681518041</v>
          </cell>
          <cell r="M20">
            <v>1059819.7681518041</v>
          </cell>
          <cell r="N20">
            <v>1059819.7681518041</v>
          </cell>
        </row>
        <row r="22">
          <cell r="B22" t="str">
            <v>Rolling Stock</v>
          </cell>
          <cell r="C22">
            <v>2</v>
          </cell>
          <cell r="D22">
            <v>2</v>
          </cell>
          <cell r="E22">
            <v>14</v>
          </cell>
          <cell r="F22">
            <v>16</v>
          </cell>
          <cell r="G22">
            <v>17</v>
          </cell>
          <cell r="H22">
            <v>17</v>
          </cell>
          <cell r="I22">
            <v>92404.214210226986</v>
          </cell>
          <cell r="J22">
            <v>92404.214210226986</v>
          </cell>
          <cell r="K22">
            <v>175926.31892912727</v>
          </cell>
          <cell r="L22">
            <v>349040.51382232195</v>
          </cell>
          <cell r="M22">
            <v>351802.70871551667</v>
          </cell>
          <cell r="N22">
            <v>351802.70871551667</v>
          </cell>
        </row>
        <row r="24">
          <cell r="B24" t="str">
            <v>Train Operations</v>
          </cell>
          <cell r="C24">
            <v>13.600000000000001</v>
          </cell>
          <cell r="D24">
            <v>13.600000000000001</v>
          </cell>
          <cell r="E24">
            <v>270.5</v>
          </cell>
          <cell r="F24">
            <v>448</v>
          </cell>
          <cell r="G24">
            <v>448</v>
          </cell>
          <cell r="H24">
            <v>448</v>
          </cell>
          <cell r="I24">
            <v>56934.182141713565</v>
          </cell>
          <cell r="J24">
            <v>56934.182141713565</v>
          </cell>
          <cell r="K24">
            <v>1004578.270098896</v>
          </cell>
          <cell r="L24">
            <v>1862497.1145900069</v>
          </cell>
          <cell r="M24">
            <v>1862497.1145900069</v>
          </cell>
          <cell r="N24">
            <v>1862497.1145900069</v>
          </cell>
        </row>
        <row r="25">
          <cell r="B25" t="str">
            <v>(2 drivers per train)</v>
          </cell>
        </row>
        <row r="26">
          <cell r="B26" t="str">
            <v>Sub-Total CVRD Coal</v>
          </cell>
          <cell r="C26">
            <v>15.600000000000001</v>
          </cell>
          <cell r="D26">
            <v>15.600000000000001</v>
          </cell>
          <cell r="E26">
            <v>359.5</v>
          </cell>
          <cell r="F26">
            <v>543</v>
          </cell>
          <cell r="G26">
            <v>544</v>
          </cell>
          <cell r="H26">
            <v>544</v>
          </cell>
          <cell r="I26">
            <v>149338.39635194055</v>
          </cell>
          <cell r="J26">
            <v>149338.39635194055</v>
          </cell>
          <cell r="K26">
            <v>1927124.4272063198</v>
          </cell>
          <cell r="L26">
            <v>3271357.396564133</v>
          </cell>
          <cell r="M26">
            <v>3274119.5914573278</v>
          </cell>
          <cell r="N26">
            <v>3274119.5914573278</v>
          </cell>
        </row>
        <row r="28">
          <cell r="B28" t="str">
            <v>Outsourced Staff:</v>
          </cell>
        </row>
        <row r="30">
          <cell r="B30" t="str">
            <v>Infrastructure</v>
          </cell>
          <cell r="C30">
            <v>0</v>
          </cell>
          <cell r="D30">
            <v>0</v>
          </cell>
          <cell r="E30">
            <v>495</v>
          </cell>
          <cell r="F30">
            <v>495</v>
          </cell>
          <cell r="G30">
            <v>495</v>
          </cell>
          <cell r="H30">
            <v>495</v>
          </cell>
          <cell r="I30">
            <v>0</v>
          </cell>
          <cell r="J30">
            <v>0</v>
          </cell>
          <cell r="K30">
            <v>811034.64511757391</v>
          </cell>
          <cell r="L30">
            <v>811034.64511757391</v>
          </cell>
          <cell r="M30">
            <v>811034.64511757391</v>
          </cell>
          <cell r="N30">
            <v>811034.64511757391</v>
          </cell>
        </row>
        <row r="32">
          <cell r="B32" t="str">
            <v>Rolling Stock</v>
          </cell>
          <cell r="C32">
            <v>8</v>
          </cell>
          <cell r="D32">
            <v>8</v>
          </cell>
          <cell r="E32">
            <v>182</v>
          </cell>
          <cell r="F32">
            <v>183</v>
          </cell>
          <cell r="G32">
            <v>183</v>
          </cell>
          <cell r="H32">
            <v>183</v>
          </cell>
          <cell r="I32">
            <v>19516.052142717184</v>
          </cell>
          <cell r="J32">
            <v>19516.052142717184</v>
          </cell>
          <cell r="K32">
            <v>544371.0397125521</v>
          </cell>
          <cell r="L32">
            <v>688335.03971255245</v>
          </cell>
          <cell r="M32">
            <v>688335.03971255245</v>
          </cell>
          <cell r="N32">
            <v>688335.03971255245</v>
          </cell>
        </row>
        <row r="34">
          <cell r="B34" t="str">
            <v>Sub-Total CVRD Coal</v>
          </cell>
          <cell r="C34">
            <v>8</v>
          </cell>
          <cell r="D34">
            <v>8</v>
          </cell>
          <cell r="E34">
            <v>677</v>
          </cell>
          <cell r="F34">
            <v>678</v>
          </cell>
          <cell r="G34">
            <v>678</v>
          </cell>
          <cell r="H34">
            <v>678</v>
          </cell>
          <cell r="I34">
            <v>19516.052142717184</v>
          </cell>
          <cell r="J34">
            <v>19516.052142717184</v>
          </cell>
          <cell r="K34">
            <v>1355405.6848301259</v>
          </cell>
          <cell r="L34">
            <v>1499369.6848301264</v>
          </cell>
          <cell r="M34">
            <v>1499369.6848301264</v>
          </cell>
          <cell r="N34">
            <v>1499369.6848301264</v>
          </cell>
        </row>
        <row r="36">
          <cell r="B36" t="str">
            <v>Total Staff</v>
          </cell>
          <cell r="C36">
            <v>25.6</v>
          </cell>
          <cell r="D36">
            <v>25.6</v>
          </cell>
          <cell r="E36">
            <v>1097.5</v>
          </cell>
          <cell r="F36">
            <v>1301</v>
          </cell>
          <cell r="G36">
            <v>1305</v>
          </cell>
          <cell r="H36">
            <v>1305</v>
          </cell>
          <cell r="I36">
            <v>168854.44849465773</v>
          </cell>
          <cell r="J36">
            <v>168854.44849465773</v>
          </cell>
          <cell r="K36">
            <v>3902753.2895008372</v>
          </cell>
          <cell r="L36">
            <v>6032690.0411537746</v>
          </cell>
          <cell r="M36">
            <v>6048011.2468135236</v>
          </cell>
          <cell r="N36">
            <v>6048011.2468135236</v>
          </cell>
        </row>
      </sheetData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amares"/>
      <sheetName val="Frota Trem Atual"/>
      <sheetName val="Frota Trem"/>
      <sheetName val="Premissas"/>
      <sheetName val="Opex Resumo 45"/>
      <sheetName val="Opex Resumo 30"/>
      <sheetName val="Opex Resumo 15"/>
      <sheetName val="Opex Resumo 10"/>
      <sheetName val="Opex Res Br"/>
      <sheetName val="Opex Res Par"/>
      <sheetName val="Opex Res Arg"/>
      <sheetName val="Opex Res Chi"/>
      <sheetName val="Opex Res Cor"/>
      <sheetName val="Opex Res Geral"/>
      <sheetName val="Invest Repos"/>
      <sheetName val="Reposição"/>
      <sheetName val="Distancias"/>
      <sheetName val="Demandas"/>
      <sheetName val="Trens Tipos e Ciclos"/>
      <sheetName val="Frotas"/>
      <sheetName val="Invest Frotas"/>
      <sheetName val="Invest Frotas (2)"/>
      <sheetName val="Resumo Cap x Prod"/>
      <sheetName val="Invest Plano de Vias"/>
      <sheetName val="Resumo PL "/>
      <sheetName val="Plano de Vias BR 2010"/>
      <sheetName val="Plano de Vias BR 2045"/>
      <sheetName val="Plano de Vias Var BR 2045"/>
      <sheetName val="Plano de Vias PA 2045"/>
      <sheetName val="Plano de Vias Ar 2010"/>
      <sheetName val="Plano de Vias Ar 2045"/>
      <sheetName val="Plano de Vias Ch 2010"/>
      <sheetName val="Plano de Vias Ch 2045"/>
      <sheetName val="Terminais"/>
      <sheetName val="Equipagem"/>
      <sheetName val="Diesel 3"/>
      <sheetName val="Diesel 2"/>
      <sheetName val="Diesel 1"/>
      <sheetName val="Loco Manu 2"/>
      <sheetName val="Loco Manu 1"/>
      <sheetName val="Vagão Manu 2"/>
      <sheetName val="Vagão Man 1"/>
      <sheetName val="Loco e Vag Manut "/>
      <sheetName val="Seguro de Frotas"/>
      <sheetName val="Sinal Manut"/>
      <sheetName val="Extensão de Vias"/>
      <sheetName val="Via Perm Manut 10"/>
      <sheetName val="Via Perm Manut 15"/>
      <sheetName val="Outros Cus Oper"/>
      <sheetName val="Custos Des Gerais"/>
      <sheetName val="Desp Adm e Comer"/>
      <sheetName val="Efetivo de Pessoal"/>
      <sheetName val="Trilhos ALL"/>
      <sheetName val="Res Normal"/>
      <sheetName val="Parametros"/>
      <sheetName val="Custo trem 10"/>
      <sheetName val="Opex + Capital"/>
      <sheetName val="Check List"/>
      <sheetName val="Calculation"/>
    </sheetNames>
    <sheetDataSet>
      <sheetData sheetId="0"/>
      <sheetData sheetId="1">
        <row r="31">
          <cell r="D31">
            <v>3</v>
          </cell>
        </row>
      </sheetData>
      <sheetData sheetId="2">
        <row r="12">
          <cell r="D12">
            <v>3350</v>
          </cell>
          <cell r="E12">
            <v>3350</v>
          </cell>
          <cell r="F12">
            <v>3350</v>
          </cell>
          <cell r="G12">
            <v>3350</v>
          </cell>
          <cell r="H12">
            <v>3350</v>
          </cell>
          <cell r="I12">
            <v>3350</v>
          </cell>
          <cell r="J12">
            <v>3350</v>
          </cell>
          <cell r="K12">
            <v>3350</v>
          </cell>
          <cell r="L12">
            <v>3350</v>
          </cell>
          <cell r="M12">
            <v>1650</v>
          </cell>
          <cell r="N12">
            <v>1650</v>
          </cell>
          <cell r="O12">
            <v>1650</v>
          </cell>
        </row>
        <row r="13">
          <cell r="D13">
            <v>3000</v>
          </cell>
          <cell r="E13">
            <v>3000</v>
          </cell>
          <cell r="F13">
            <v>3000</v>
          </cell>
          <cell r="G13">
            <v>3000</v>
          </cell>
          <cell r="H13">
            <v>3000</v>
          </cell>
          <cell r="I13">
            <v>3000</v>
          </cell>
          <cell r="J13">
            <v>3000</v>
          </cell>
          <cell r="K13">
            <v>3000</v>
          </cell>
          <cell r="L13">
            <v>3000</v>
          </cell>
          <cell r="M13">
            <v>1500</v>
          </cell>
          <cell r="N13">
            <v>1500</v>
          </cell>
          <cell r="O13">
            <v>1500</v>
          </cell>
        </row>
        <row r="14">
          <cell r="D14">
            <v>150</v>
          </cell>
          <cell r="E14">
            <v>150</v>
          </cell>
          <cell r="F14">
            <v>150</v>
          </cell>
          <cell r="G14">
            <v>150</v>
          </cell>
          <cell r="H14">
            <v>150</v>
          </cell>
          <cell r="I14">
            <v>150</v>
          </cell>
          <cell r="J14">
            <v>150</v>
          </cell>
          <cell r="K14">
            <v>120</v>
          </cell>
          <cell r="L14">
            <v>120</v>
          </cell>
          <cell r="M14">
            <v>74.400000000000006</v>
          </cell>
          <cell r="N14">
            <v>74.400000000000006</v>
          </cell>
          <cell r="O14">
            <v>74.400000000000006</v>
          </cell>
        </row>
        <row r="15">
          <cell r="D15">
            <v>6</v>
          </cell>
          <cell r="E15">
            <v>6</v>
          </cell>
          <cell r="F15">
            <v>6</v>
          </cell>
          <cell r="G15">
            <v>6</v>
          </cell>
          <cell r="H15">
            <v>6</v>
          </cell>
          <cell r="I15">
            <v>6</v>
          </cell>
          <cell r="J15">
            <v>6</v>
          </cell>
          <cell r="K15">
            <v>6</v>
          </cell>
          <cell r="L15">
            <v>6</v>
          </cell>
          <cell r="M15">
            <v>4</v>
          </cell>
          <cell r="N15">
            <v>4</v>
          </cell>
          <cell r="O15">
            <v>4</v>
          </cell>
        </row>
        <row r="16">
          <cell r="D16">
            <v>25</v>
          </cell>
          <cell r="E16">
            <v>25</v>
          </cell>
          <cell r="F16">
            <v>25</v>
          </cell>
          <cell r="G16">
            <v>25</v>
          </cell>
          <cell r="H16">
            <v>25</v>
          </cell>
          <cell r="I16">
            <v>25</v>
          </cell>
          <cell r="J16">
            <v>25</v>
          </cell>
          <cell r="K16">
            <v>25</v>
          </cell>
          <cell r="L16">
            <v>25</v>
          </cell>
          <cell r="M16">
            <v>20</v>
          </cell>
          <cell r="N16">
            <v>20</v>
          </cell>
          <cell r="O16">
            <v>20</v>
          </cell>
        </row>
        <row r="17">
          <cell r="D17">
            <v>80</v>
          </cell>
          <cell r="E17">
            <v>80</v>
          </cell>
          <cell r="F17">
            <v>80</v>
          </cell>
          <cell r="G17">
            <v>80</v>
          </cell>
          <cell r="H17">
            <v>80</v>
          </cell>
          <cell r="I17">
            <v>80</v>
          </cell>
          <cell r="J17">
            <v>80</v>
          </cell>
          <cell r="K17">
            <v>80</v>
          </cell>
          <cell r="L17">
            <v>80</v>
          </cell>
          <cell r="M17">
            <v>80</v>
          </cell>
          <cell r="N17">
            <v>80</v>
          </cell>
          <cell r="O17">
            <v>80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23">
          <cell r="K23">
            <v>952.34</v>
          </cell>
          <cell r="M23">
            <v>435.34</v>
          </cell>
          <cell r="N23">
            <v>637.34</v>
          </cell>
          <cell r="O23">
            <v>637.34</v>
          </cell>
        </row>
        <row r="153">
          <cell r="M153">
            <v>443.34</v>
          </cell>
          <cell r="N153">
            <v>655.34</v>
          </cell>
          <cell r="O153">
            <v>867.34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amares"/>
      <sheetName val="Frota Trem Atual"/>
      <sheetName val="Frota Trem"/>
      <sheetName val="Premissas"/>
      <sheetName val="Opex Resumo Geral"/>
      <sheetName val="Opex Resumo 45"/>
      <sheetName val="Opex Resumo 30"/>
      <sheetName val="Opex Resumo 15"/>
      <sheetName val="Opex Resumo 10"/>
      <sheetName val="Opex Res Br"/>
      <sheetName val="Opex Res Par"/>
      <sheetName val="Opex Res Arg"/>
      <sheetName val="Opex Res Chi"/>
      <sheetName val="Opex Res Cor"/>
      <sheetName val="Opex Res Geral"/>
      <sheetName val="Invest Repos"/>
      <sheetName val="Reposição"/>
      <sheetName val="Distancias"/>
      <sheetName val="Demandas"/>
      <sheetName val="Trens Tipos e Ciclos"/>
      <sheetName val="Frotas"/>
      <sheetName val="Invest Frotas"/>
      <sheetName val="Invest Frotas (2)"/>
      <sheetName val="Resumo Cap x Prod"/>
      <sheetName val="Invest Plano de Vias"/>
      <sheetName val="Resumo PL "/>
      <sheetName val="Plano de Vias BR 2010"/>
      <sheetName val="Plano de Vias BR 2045"/>
      <sheetName val="Plano de Vias Var BR 2045"/>
      <sheetName val="Plano de Vias PA 2045"/>
      <sheetName val="Plano de Vias Ar 2010"/>
      <sheetName val="Plano de Vias Ar 2045"/>
      <sheetName val="Plano de Vias Ch 2010"/>
      <sheetName val="Plano de Vias Ch 2045"/>
      <sheetName val="Terminais"/>
      <sheetName val="Equipagem"/>
      <sheetName val="Diesel 3"/>
      <sheetName val="Diesel 2"/>
      <sheetName val="Diesel 1"/>
      <sheetName val="Loco Manu 2"/>
      <sheetName val="Loco Manu 1"/>
      <sheetName val="Vagão Manu 2"/>
      <sheetName val="Vagão Man 1"/>
      <sheetName val="Loco e Vag Manut "/>
      <sheetName val="Seguro de Frotas"/>
      <sheetName val="Sinal Manut"/>
      <sheetName val="Extensão de Vias"/>
      <sheetName val="Via Perm Manut 10"/>
      <sheetName val="Via Perm Manut 15"/>
      <sheetName val="Outros Cus Oper"/>
      <sheetName val="Custos Des Gerais"/>
      <sheetName val="Desp Adm e Comer"/>
      <sheetName val="Efetivo de Pessoal"/>
      <sheetName val="Trilhos ALL"/>
      <sheetName val="Res Normal"/>
      <sheetName val="Parametros"/>
      <sheetName val="Custo trem 10"/>
      <sheetName val="Opex + Capital"/>
      <sheetName val="Check List"/>
      <sheetName val="Calculation"/>
    </sheetNames>
    <sheetDataSet>
      <sheetData sheetId="0" refreshError="1"/>
      <sheetData sheetId="1" refreshError="1"/>
      <sheetData sheetId="2" refreshError="1"/>
      <sheetData sheetId="3" refreshError="1">
        <row r="11">
          <cell r="C11">
            <v>11329000</v>
          </cell>
        </row>
        <row r="109">
          <cell r="D109">
            <v>65.67</v>
          </cell>
          <cell r="E109">
            <v>65.67</v>
          </cell>
          <cell r="F109">
            <v>65.67</v>
          </cell>
          <cell r="G109">
            <v>65.67</v>
          </cell>
          <cell r="H109">
            <v>65.67</v>
          </cell>
          <cell r="I109">
            <v>65.67</v>
          </cell>
          <cell r="J109">
            <v>65.67</v>
          </cell>
          <cell r="K109">
            <v>65.67</v>
          </cell>
          <cell r="L109">
            <v>65.67</v>
          </cell>
          <cell r="M109">
            <v>65.67</v>
          </cell>
          <cell r="N109">
            <v>65.67</v>
          </cell>
          <cell r="O109">
            <v>65.67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3"/>
  <sheetViews>
    <sheetView tabSelected="1" workbookViewId="0">
      <selection activeCell="A2" sqref="A2"/>
    </sheetView>
  </sheetViews>
  <sheetFormatPr defaultRowHeight="15"/>
  <cols>
    <col min="1" max="1" width="23.5703125" style="32" customWidth="1"/>
    <col min="2" max="2" width="10.7109375" style="32" customWidth="1"/>
    <col min="3" max="3" width="12.42578125" style="32" customWidth="1"/>
    <col min="4" max="4" width="14.140625" style="32" customWidth="1"/>
    <col min="5" max="6" width="14.7109375" style="32" customWidth="1"/>
    <col min="7" max="8" width="13.5703125" style="32" customWidth="1"/>
    <col min="9" max="9" width="16" style="32" customWidth="1"/>
    <col min="10" max="10" width="15.140625" style="32" customWidth="1"/>
    <col min="11" max="11" width="14.85546875" style="32" customWidth="1"/>
    <col min="12" max="12" width="15" style="32" customWidth="1"/>
    <col min="13" max="13" width="11.5703125" style="32" customWidth="1"/>
    <col min="14" max="14" width="12" style="32" customWidth="1"/>
    <col min="15" max="15" width="14" style="32" customWidth="1"/>
  </cols>
  <sheetData>
    <row r="2" spans="1:16" ht="15.75">
      <c r="A2" s="59" t="s">
        <v>163</v>
      </c>
      <c r="P2" s="134"/>
    </row>
    <row r="3" spans="1:16" ht="15.75">
      <c r="A3" s="59" t="s">
        <v>271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134"/>
    </row>
    <row r="4" spans="1:16" ht="15.75">
      <c r="A4" s="170" t="s">
        <v>1</v>
      </c>
      <c r="B4" s="170" t="s">
        <v>2</v>
      </c>
      <c r="C4" s="174" t="s">
        <v>3</v>
      </c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34"/>
    </row>
    <row r="5" spans="1:16" ht="15.75">
      <c r="A5" s="171"/>
      <c r="B5" s="171"/>
      <c r="C5" s="175" t="s">
        <v>4</v>
      </c>
      <c r="D5" s="175"/>
      <c r="E5" s="175"/>
      <c r="F5" s="175"/>
      <c r="G5" s="175"/>
      <c r="H5" s="78"/>
      <c r="I5" s="79" t="s">
        <v>5</v>
      </c>
      <c r="J5" s="79"/>
      <c r="K5" s="175" t="s">
        <v>6</v>
      </c>
      <c r="L5" s="175"/>
      <c r="M5" s="175"/>
      <c r="N5" s="175" t="s">
        <v>7</v>
      </c>
      <c r="O5" s="175"/>
      <c r="P5" s="134"/>
    </row>
    <row r="6" spans="1:16" ht="15.75">
      <c r="A6" s="171"/>
      <c r="B6" s="171"/>
      <c r="C6" s="176" t="s">
        <v>8</v>
      </c>
      <c r="D6" s="176"/>
      <c r="E6" s="176"/>
      <c r="F6" s="176"/>
      <c r="G6" s="175" t="s">
        <v>9</v>
      </c>
      <c r="H6" s="175"/>
      <c r="I6" s="176" t="s">
        <v>10</v>
      </c>
      <c r="J6" s="176"/>
      <c r="K6" s="176" t="s">
        <v>11</v>
      </c>
      <c r="L6" s="176"/>
      <c r="M6" s="176"/>
      <c r="N6" s="78" t="s">
        <v>12</v>
      </c>
      <c r="O6" s="78" t="s">
        <v>13</v>
      </c>
      <c r="P6" s="134"/>
    </row>
    <row r="7" spans="1:16" ht="15.75">
      <c r="A7" s="171"/>
      <c r="B7" s="171"/>
      <c r="C7" s="7" t="s">
        <v>14</v>
      </c>
      <c r="D7" s="36" t="str">
        <f>+C8</f>
        <v>Iguaçu</v>
      </c>
      <c r="E7" s="7" t="str">
        <f>+D8</f>
        <v>Desvio Ribas</v>
      </c>
      <c r="F7" s="36" t="s">
        <v>78</v>
      </c>
      <c r="G7" s="36" t="str">
        <f>+E8</f>
        <v>Guarapuava</v>
      </c>
      <c r="H7" s="36" t="str">
        <f>+G8</f>
        <v>Cascavel</v>
      </c>
      <c r="I7" s="7" t="s">
        <v>79</v>
      </c>
      <c r="J7" s="36" t="s">
        <v>15</v>
      </c>
      <c r="K7" s="36" t="str">
        <f>+J8</f>
        <v>Front. Argentina</v>
      </c>
      <c r="L7" s="36" t="str">
        <f>+K8</f>
        <v>J.V. Gonzalez</v>
      </c>
      <c r="M7" s="7" t="str">
        <f>+L8</f>
        <v>Salta</v>
      </c>
      <c r="N7" s="36" t="str">
        <f>+M8</f>
        <v>Socompa</v>
      </c>
      <c r="O7" s="7" t="str">
        <f>+N8</f>
        <v>A Victoria</v>
      </c>
      <c r="P7" s="134"/>
    </row>
    <row r="8" spans="1:16" ht="16.5" thickBot="1">
      <c r="A8" s="173"/>
      <c r="B8" s="173"/>
      <c r="C8" s="37" t="s">
        <v>80</v>
      </c>
      <c r="D8" s="37" t="s">
        <v>16</v>
      </c>
      <c r="E8" s="37" t="s">
        <v>17</v>
      </c>
      <c r="F8" s="37" t="s">
        <v>81</v>
      </c>
      <c r="G8" s="37" t="s">
        <v>18</v>
      </c>
      <c r="H8" s="37" t="s">
        <v>82</v>
      </c>
      <c r="I8" s="37" t="s">
        <v>19</v>
      </c>
      <c r="J8" s="37" t="s">
        <v>83</v>
      </c>
      <c r="K8" s="37" t="s">
        <v>84</v>
      </c>
      <c r="L8" s="37" t="s">
        <v>20</v>
      </c>
      <c r="M8" s="37" t="s">
        <v>21</v>
      </c>
      <c r="N8" s="37" t="s">
        <v>22</v>
      </c>
      <c r="O8" s="37" t="s">
        <v>23</v>
      </c>
      <c r="P8" s="134"/>
    </row>
    <row r="9" spans="1:16" ht="15.75">
      <c r="A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134"/>
    </row>
    <row r="10" spans="1:16" ht="15.75">
      <c r="A10" s="80" t="s">
        <v>272</v>
      </c>
      <c r="B10" s="81"/>
      <c r="C10" s="59"/>
      <c r="D10" s="59"/>
      <c r="E10" s="59"/>
      <c r="F10" s="135">
        <v>1700000</v>
      </c>
      <c r="G10" s="59" t="s">
        <v>273</v>
      </c>
      <c r="H10" s="59"/>
      <c r="I10" s="59"/>
      <c r="J10" s="59"/>
      <c r="K10" s="59"/>
      <c r="L10" s="59"/>
      <c r="M10" s="59"/>
      <c r="N10" s="59"/>
      <c r="O10" s="59"/>
      <c r="P10" s="134"/>
    </row>
    <row r="11" spans="1:16" ht="15.75">
      <c r="A11" s="136" t="s">
        <v>274</v>
      </c>
      <c r="B11" s="137" t="s">
        <v>134</v>
      </c>
      <c r="C11" s="138">
        <v>11329000</v>
      </c>
      <c r="D11" s="138">
        <v>13000000</v>
      </c>
      <c r="E11" s="138">
        <v>1400000</v>
      </c>
      <c r="F11" s="135">
        <v>2500000</v>
      </c>
      <c r="G11" s="138">
        <v>1300000</v>
      </c>
      <c r="H11" s="139"/>
      <c r="I11" s="139"/>
      <c r="J11" s="139"/>
      <c r="K11" s="138">
        <f>800000*0.6</f>
        <v>480000</v>
      </c>
      <c r="L11" s="138">
        <f>800000-K11</f>
        <v>320000</v>
      </c>
      <c r="M11" s="140"/>
      <c r="N11" s="141">
        <v>1200000</v>
      </c>
      <c r="O11" s="141">
        <v>2000000</v>
      </c>
      <c r="P11" s="134"/>
    </row>
    <row r="12" spans="1:16" ht="15.75">
      <c r="A12" s="142"/>
      <c r="B12" s="92"/>
      <c r="C12" s="105"/>
      <c r="D12" s="105"/>
      <c r="E12" s="105"/>
      <c r="F12" s="143"/>
      <c r="G12" s="105"/>
      <c r="H12" s="105"/>
      <c r="I12" s="105"/>
      <c r="J12" s="105"/>
      <c r="K12" s="105"/>
      <c r="L12" s="105"/>
      <c r="M12" s="105"/>
      <c r="N12" s="105"/>
      <c r="O12" s="144"/>
      <c r="P12" s="134"/>
    </row>
    <row r="13" spans="1:16" ht="15.75">
      <c r="A13" s="142" t="s">
        <v>275</v>
      </c>
      <c r="B13" s="83"/>
      <c r="C13" s="105"/>
      <c r="D13" s="105"/>
      <c r="E13" s="105"/>
      <c r="F13" s="143"/>
      <c r="G13" s="105"/>
      <c r="H13" s="105"/>
      <c r="I13" s="105"/>
      <c r="J13" s="105"/>
      <c r="K13" s="105"/>
      <c r="L13" s="105"/>
      <c r="M13" s="105"/>
      <c r="N13" s="105"/>
      <c r="O13" s="144"/>
      <c r="P13" s="134"/>
    </row>
    <row r="14" spans="1:16" ht="15.75">
      <c r="A14" s="142" t="s">
        <v>276</v>
      </c>
      <c r="B14" s="83" t="s">
        <v>134</v>
      </c>
      <c r="C14" s="104">
        <f>+C19+C20+C21</f>
        <v>12000000</v>
      </c>
      <c r="D14" s="104">
        <f>+D19+D20+D21</f>
        <v>17400000</v>
      </c>
      <c r="E14" s="104">
        <f>+E19+E20+E21</f>
        <v>6400000</v>
      </c>
      <c r="F14" s="143">
        <f>+F19</f>
        <v>3500000</v>
      </c>
      <c r="G14" s="104">
        <f>+G19+G20+G21</f>
        <v>5900000</v>
      </c>
      <c r="H14" s="104">
        <f t="shared" ref="H14:O14" si="0">+H19+H20</f>
        <v>1700000</v>
      </c>
      <c r="I14" s="104">
        <f t="shared" si="0"/>
        <v>1900000</v>
      </c>
      <c r="J14" s="104">
        <f t="shared" si="0"/>
        <v>1000000</v>
      </c>
      <c r="K14" s="104">
        <f t="shared" si="0"/>
        <v>3000000</v>
      </c>
      <c r="L14" s="104">
        <f>+L19+L20</f>
        <v>1600000</v>
      </c>
      <c r="M14" s="104">
        <f t="shared" si="0"/>
        <v>600000</v>
      </c>
      <c r="N14" s="104">
        <f t="shared" si="0"/>
        <v>1800000</v>
      </c>
      <c r="O14" s="145">
        <f t="shared" si="0"/>
        <v>2600000</v>
      </c>
      <c r="P14" s="134"/>
    </row>
    <row r="15" spans="1:16" ht="15.75">
      <c r="A15" s="142" t="s">
        <v>277</v>
      </c>
      <c r="B15" s="83" t="s">
        <v>134</v>
      </c>
      <c r="C15" s="104">
        <f>+C24+C25+C26</f>
        <v>15000000</v>
      </c>
      <c r="D15" s="104">
        <f>+D24+D25+D26</f>
        <v>21100000</v>
      </c>
      <c r="E15" s="104">
        <f>+E24+E25+E26</f>
        <v>9100000</v>
      </c>
      <c r="F15" s="143">
        <f>+F24</f>
        <v>4500000</v>
      </c>
      <c r="G15" s="104">
        <f>+G24+G25+G26</f>
        <v>8500000</v>
      </c>
      <c r="H15" s="104">
        <f t="shared" ref="H15:O15" si="1">+H24+H25</f>
        <v>3100000</v>
      </c>
      <c r="I15" s="104">
        <f t="shared" si="1"/>
        <v>3300000</v>
      </c>
      <c r="J15" s="104">
        <f t="shared" si="1"/>
        <v>1500000</v>
      </c>
      <c r="K15" s="104">
        <f t="shared" si="1"/>
        <v>3800000</v>
      </c>
      <c r="L15" s="104">
        <f>+L24+L25</f>
        <v>2000000</v>
      </c>
      <c r="M15" s="104">
        <f t="shared" si="1"/>
        <v>700000</v>
      </c>
      <c r="N15" s="104">
        <f t="shared" si="1"/>
        <v>1900000</v>
      </c>
      <c r="O15" s="145">
        <f t="shared" si="1"/>
        <v>2700000</v>
      </c>
      <c r="P15" s="134"/>
    </row>
    <row r="16" spans="1:16" ht="15.75">
      <c r="A16" s="146" t="s">
        <v>278</v>
      </c>
      <c r="B16" s="147" t="s">
        <v>134</v>
      </c>
      <c r="C16" s="148">
        <f>+C29+C30+C31</f>
        <v>18700000</v>
      </c>
      <c r="D16" s="148">
        <f>+D29+D30+D31</f>
        <v>25000000</v>
      </c>
      <c r="E16" s="148">
        <f>+E29+E30+E31</f>
        <v>12000000</v>
      </c>
      <c r="F16" s="149">
        <v>5500000</v>
      </c>
      <c r="G16" s="148">
        <f>+G29+G30+G31</f>
        <v>11200000</v>
      </c>
      <c r="H16" s="148">
        <f t="shared" ref="H16:O16" si="2">+H29+H30</f>
        <v>4200000</v>
      </c>
      <c r="I16" s="150">
        <f t="shared" si="2"/>
        <v>4300000</v>
      </c>
      <c r="J16" s="150">
        <f t="shared" si="2"/>
        <v>2000000</v>
      </c>
      <c r="K16" s="150">
        <f t="shared" si="2"/>
        <v>4600000</v>
      </c>
      <c r="L16" s="150">
        <f>+L29+L30</f>
        <v>3500000</v>
      </c>
      <c r="M16" s="150">
        <f t="shared" si="2"/>
        <v>800000</v>
      </c>
      <c r="N16" s="150">
        <f t="shared" si="2"/>
        <v>2000000</v>
      </c>
      <c r="O16" s="151">
        <f t="shared" si="2"/>
        <v>2800000</v>
      </c>
      <c r="P16" s="134"/>
    </row>
    <row r="17" spans="1:16" ht="15.75">
      <c r="A17" s="50"/>
      <c r="B17" s="57"/>
      <c r="P17" s="134"/>
    </row>
    <row r="18" spans="1:16" ht="15.75">
      <c r="B18" s="101"/>
      <c r="P18" s="134"/>
    </row>
    <row r="19" spans="1:16" ht="15.75">
      <c r="A19" s="167" t="s">
        <v>279</v>
      </c>
      <c r="B19" s="170">
        <v>2015</v>
      </c>
      <c r="C19" s="152">
        <v>5600000</v>
      </c>
      <c r="D19" s="152">
        <v>11000000</v>
      </c>
      <c r="E19" s="152">
        <v>500000</v>
      </c>
      <c r="F19" s="152">
        <v>3500000</v>
      </c>
      <c r="G19" s="152">
        <v>1800000</v>
      </c>
      <c r="H19" s="152">
        <v>200000</v>
      </c>
      <c r="I19" s="152">
        <v>400000</v>
      </c>
      <c r="J19" s="152">
        <v>200000</v>
      </c>
      <c r="K19" s="152">
        <v>2200000</v>
      </c>
      <c r="L19" s="152">
        <v>1000000</v>
      </c>
      <c r="M19" s="152"/>
      <c r="N19" s="152">
        <v>1200000</v>
      </c>
      <c r="O19" s="153">
        <v>2000000</v>
      </c>
      <c r="P19" s="134" t="s">
        <v>280</v>
      </c>
    </row>
    <row r="20" spans="1:16" ht="15.75">
      <c r="A20" s="168"/>
      <c r="B20" s="171"/>
      <c r="C20" s="104">
        <f>+D20</f>
        <v>3900000</v>
      </c>
      <c r="D20" s="104">
        <f>+E20+E19</f>
        <v>3900000</v>
      </c>
      <c r="E20" s="104">
        <f>+G20+G19</f>
        <v>3400000</v>
      </c>
      <c r="F20" s="104"/>
      <c r="G20" s="104">
        <f>1400000+H19</f>
        <v>1600000</v>
      </c>
      <c r="H20" s="104">
        <f>+I20</f>
        <v>1500000</v>
      </c>
      <c r="I20" s="104">
        <v>1500000</v>
      </c>
      <c r="J20" s="104">
        <v>800000</v>
      </c>
      <c r="K20" s="104">
        <f>+J20</f>
        <v>800000</v>
      </c>
      <c r="L20" s="104">
        <v>600000</v>
      </c>
      <c r="M20" s="104">
        <v>600000</v>
      </c>
      <c r="N20" s="104">
        <v>600000</v>
      </c>
      <c r="O20" s="104">
        <v>600000</v>
      </c>
      <c r="P20" s="134"/>
    </row>
    <row r="21" spans="1:16" ht="15.75">
      <c r="A21" s="169"/>
      <c r="B21" s="172"/>
      <c r="C21" s="150">
        <f>+D21</f>
        <v>2500000</v>
      </c>
      <c r="D21" s="150">
        <f>+E21</f>
        <v>2500000</v>
      </c>
      <c r="E21" s="150">
        <f>+G21</f>
        <v>2500000</v>
      </c>
      <c r="F21" s="150"/>
      <c r="G21" s="150">
        <v>2500000</v>
      </c>
      <c r="H21" s="150"/>
      <c r="I21" s="77"/>
      <c r="J21" s="77"/>
      <c r="K21" s="77"/>
      <c r="L21" s="77"/>
      <c r="M21" s="77"/>
      <c r="N21" s="77"/>
      <c r="O21" s="154"/>
      <c r="P21" s="134" t="s">
        <v>281</v>
      </c>
    </row>
    <row r="22" spans="1:16" ht="15.75">
      <c r="B22" s="81"/>
      <c r="P22" s="134"/>
    </row>
    <row r="23" spans="1:16" ht="15.75">
      <c r="B23" s="101"/>
      <c r="P23" s="134"/>
    </row>
    <row r="24" spans="1:16" ht="15.75">
      <c r="A24" s="167" t="s">
        <v>279</v>
      </c>
      <c r="B24" s="170">
        <v>2030</v>
      </c>
      <c r="C24" s="152">
        <v>5900000</v>
      </c>
      <c r="D24" s="152">
        <v>12000000</v>
      </c>
      <c r="E24" s="152">
        <v>600000</v>
      </c>
      <c r="F24" s="152">
        <v>4500000</v>
      </c>
      <c r="G24" s="152">
        <v>2500000</v>
      </c>
      <c r="H24" s="152">
        <v>500000</v>
      </c>
      <c r="I24" s="152">
        <v>700000</v>
      </c>
      <c r="J24" s="152">
        <v>500000</v>
      </c>
      <c r="K24" s="152">
        <v>2800000</v>
      </c>
      <c r="L24" s="152">
        <v>1200000</v>
      </c>
      <c r="M24" s="152"/>
      <c r="N24" s="152">
        <v>1200000</v>
      </c>
      <c r="O24" s="153">
        <v>2000000</v>
      </c>
      <c r="P24" s="134" t="s">
        <v>282</v>
      </c>
    </row>
    <row r="25" spans="1:16" ht="15.75">
      <c r="A25" s="168"/>
      <c r="B25" s="171"/>
      <c r="C25" s="104">
        <f>+D25</f>
        <v>6100000</v>
      </c>
      <c r="D25" s="104">
        <f>+E25+E24</f>
        <v>6100000</v>
      </c>
      <c r="E25" s="104">
        <f>+G25+G24</f>
        <v>5500000</v>
      </c>
      <c r="F25" s="104"/>
      <c r="G25" s="104">
        <v>3000000</v>
      </c>
      <c r="H25" s="104">
        <f>+I25</f>
        <v>2600000</v>
      </c>
      <c r="I25" s="104">
        <v>2600000</v>
      </c>
      <c r="J25" s="104">
        <v>1000000</v>
      </c>
      <c r="K25" s="104">
        <f>+J25</f>
        <v>1000000</v>
      </c>
      <c r="L25" s="104">
        <v>800000</v>
      </c>
      <c r="M25" s="104">
        <v>700000</v>
      </c>
      <c r="N25" s="104">
        <v>700000</v>
      </c>
      <c r="O25" s="104">
        <v>700000</v>
      </c>
      <c r="P25" s="134"/>
    </row>
    <row r="26" spans="1:16" ht="15.75">
      <c r="A26" s="169"/>
      <c r="B26" s="172"/>
      <c r="C26" s="150">
        <f>+D26</f>
        <v>3000000</v>
      </c>
      <c r="D26" s="150">
        <f>+E26</f>
        <v>3000000</v>
      </c>
      <c r="E26" s="150">
        <f>+G26</f>
        <v>3000000</v>
      </c>
      <c r="F26" s="150"/>
      <c r="G26" s="150">
        <v>3000000</v>
      </c>
      <c r="H26" s="150"/>
      <c r="I26" s="77"/>
      <c r="J26" s="77"/>
      <c r="K26" s="77"/>
      <c r="L26" s="77"/>
      <c r="M26" s="77"/>
      <c r="N26" s="77"/>
      <c r="O26" s="154"/>
      <c r="P26" s="134" t="s">
        <v>281</v>
      </c>
    </row>
    <row r="27" spans="1:16" ht="15.75">
      <c r="B27" s="81"/>
      <c r="K27" s="58"/>
      <c r="L27" s="58"/>
      <c r="P27" s="134"/>
    </row>
    <row r="28" spans="1:16" ht="15.75">
      <c r="B28" s="101"/>
      <c r="P28" s="134"/>
    </row>
    <row r="29" spans="1:16" ht="15.75">
      <c r="A29" s="167" t="s">
        <v>279</v>
      </c>
      <c r="B29" s="170">
        <v>2045</v>
      </c>
      <c r="C29" s="152">
        <v>6700000</v>
      </c>
      <c r="D29" s="152">
        <v>13000000</v>
      </c>
      <c r="E29" s="152">
        <v>800000</v>
      </c>
      <c r="F29" s="152">
        <v>4500000</v>
      </c>
      <c r="G29" s="152">
        <v>3000000</v>
      </c>
      <c r="H29" s="152">
        <v>800000</v>
      </c>
      <c r="I29" s="152">
        <v>900000</v>
      </c>
      <c r="J29" s="152">
        <v>700000</v>
      </c>
      <c r="K29" s="152">
        <v>3300000</v>
      </c>
      <c r="L29" s="152">
        <v>2500000</v>
      </c>
      <c r="M29" s="152"/>
      <c r="N29" s="152">
        <v>1200000</v>
      </c>
      <c r="O29" s="153">
        <v>2000000</v>
      </c>
      <c r="P29" s="134" t="s">
        <v>280</v>
      </c>
    </row>
    <row r="30" spans="1:16" ht="15.75">
      <c r="A30" s="168"/>
      <c r="B30" s="171"/>
      <c r="C30" s="104">
        <f>+D30</f>
        <v>8000000</v>
      </c>
      <c r="D30" s="104">
        <f>+E30+E29</f>
        <v>8000000</v>
      </c>
      <c r="E30" s="104">
        <f>+G30+G29</f>
        <v>7200000</v>
      </c>
      <c r="F30" s="104"/>
      <c r="G30" s="104">
        <f>+H29+H30</f>
        <v>4200000</v>
      </c>
      <c r="H30" s="104">
        <f>+I30</f>
        <v>3400000</v>
      </c>
      <c r="I30" s="104">
        <v>3400000</v>
      </c>
      <c r="J30" s="104">
        <v>1300000</v>
      </c>
      <c r="K30" s="104">
        <f>+J30</f>
        <v>1300000</v>
      </c>
      <c r="L30" s="104">
        <v>1000000</v>
      </c>
      <c r="M30" s="104">
        <v>800000</v>
      </c>
      <c r="N30" s="104">
        <v>800000</v>
      </c>
      <c r="O30" s="104">
        <v>800000</v>
      </c>
      <c r="P30" s="134"/>
    </row>
    <row r="31" spans="1:16" ht="15.75">
      <c r="A31" s="169"/>
      <c r="B31" s="172"/>
      <c r="C31" s="150">
        <f>+D31</f>
        <v>4000000</v>
      </c>
      <c r="D31" s="150">
        <f>+E31</f>
        <v>4000000</v>
      </c>
      <c r="E31" s="150">
        <f>+G31</f>
        <v>4000000</v>
      </c>
      <c r="F31" s="150"/>
      <c r="G31" s="150">
        <v>4000000</v>
      </c>
      <c r="H31" s="150"/>
      <c r="I31" s="77"/>
      <c r="J31" s="77"/>
      <c r="K31" s="77"/>
      <c r="L31" s="77"/>
      <c r="M31" s="77"/>
      <c r="N31" s="77"/>
      <c r="O31" s="154"/>
      <c r="P31" s="134" t="s">
        <v>281</v>
      </c>
    </row>
    <row r="32" spans="1:16">
      <c r="I32" s="58"/>
      <c r="J32" s="58"/>
    </row>
    <row r="33" spans="4:4">
      <c r="D33" s="58"/>
    </row>
  </sheetData>
  <mergeCells count="16">
    <mergeCell ref="A4:A8"/>
    <mergeCell ref="B4:B8"/>
    <mergeCell ref="C4:O4"/>
    <mergeCell ref="C5:G5"/>
    <mergeCell ref="K5:M5"/>
    <mergeCell ref="N5:O5"/>
    <mergeCell ref="C6:F6"/>
    <mergeCell ref="G6:H6"/>
    <mergeCell ref="I6:J6"/>
    <mergeCell ref="K6:M6"/>
    <mergeCell ref="A19:A21"/>
    <mergeCell ref="B19:B21"/>
    <mergeCell ref="A24:A26"/>
    <mergeCell ref="B24:B26"/>
    <mergeCell ref="A29:A31"/>
    <mergeCell ref="B29:B31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54"/>
  <sheetViews>
    <sheetView topLeftCell="A35" workbookViewId="0">
      <selection activeCell="C57" sqref="C57"/>
    </sheetView>
  </sheetViews>
  <sheetFormatPr defaultRowHeight="15"/>
  <cols>
    <col min="1" max="1" width="35.7109375" style="32" customWidth="1"/>
    <col min="2" max="2" width="14" style="32" customWidth="1"/>
    <col min="3" max="3" width="11.7109375" style="32" bestFit="1" customWidth="1"/>
    <col min="4" max="5" width="14.5703125" style="32" bestFit="1" customWidth="1"/>
    <col min="6" max="6" width="14.7109375" style="32" customWidth="1"/>
    <col min="7" max="8" width="13.5703125" style="32" customWidth="1"/>
    <col min="9" max="9" width="16" style="32" customWidth="1"/>
    <col min="10" max="10" width="15.140625" style="32" customWidth="1"/>
    <col min="11" max="11" width="13.7109375" style="32" customWidth="1"/>
    <col min="12" max="12" width="14.85546875" style="32" customWidth="1"/>
    <col min="13" max="13" width="12.85546875" style="32" customWidth="1"/>
    <col min="14" max="14" width="13.28515625" style="32" customWidth="1"/>
    <col min="15" max="15" width="14" style="32" customWidth="1"/>
  </cols>
  <sheetData>
    <row r="2" spans="1:15" ht="15.75">
      <c r="A2" s="59" t="s">
        <v>163</v>
      </c>
    </row>
    <row r="3" spans="1:15" ht="15.75">
      <c r="A3" s="59" t="s">
        <v>268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</row>
    <row r="4" spans="1:15" ht="15.75">
      <c r="A4" s="170" t="s">
        <v>1</v>
      </c>
      <c r="B4" s="170" t="s">
        <v>2</v>
      </c>
      <c r="C4" s="174" t="s">
        <v>3</v>
      </c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</row>
    <row r="5" spans="1:15" ht="15.75">
      <c r="A5" s="171"/>
      <c r="B5" s="171"/>
      <c r="C5" s="175" t="s">
        <v>4</v>
      </c>
      <c r="D5" s="175"/>
      <c r="E5" s="175"/>
      <c r="F5" s="175"/>
      <c r="G5" s="175"/>
      <c r="H5" s="78"/>
      <c r="I5" s="175" t="s">
        <v>5</v>
      </c>
      <c r="J5" s="175"/>
      <c r="K5" s="175" t="s">
        <v>6</v>
      </c>
      <c r="L5" s="175"/>
      <c r="M5" s="175"/>
      <c r="N5" s="175" t="s">
        <v>7</v>
      </c>
      <c r="O5" s="175"/>
    </row>
    <row r="6" spans="1:15" ht="15.75">
      <c r="A6" s="171"/>
      <c r="B6" s="171"/>
      <c r="C6" s="176" t="s">
        <v>8</v>
      </c>
      <c r="D6" s="176"/>
      <c r="E6" s="176"/>
      <c r="F6" s="176"/>
      <c r="G6" s="175" t="s">
        <v>9</v>
      </c>
      <c r="H6" s="175"/>
      <c r="I6" s="176" t="s">
        <v>10</v>
      </c>
      <c r="J6" s="176"/>
      <c r="K6" s="176" t="s">
        <v>11</v>
      </c>
      <c r="L6" s="176"/>
      <c r="M6" s="176"/>
      <c r="N6" s="78" t="s">
        <v>12</v>
      </c>
      <c r="O6" s="78" t="s">
        <v>13</v>
      </c>
    </row>
    <row r="7" spans="1:15" ht="15.75">
      <c r="A7" s="171"/>
      <c r="B7" s="171"/>
      <c r="C7" s="7" t="s">
        <v>14</v>
      </c>
      <c r="D7" s="36" t="str">
        <f>+C8</f>
        <v>Iguaçu</v>
      </c>
      <c r="E7" s="7" t="str">
        <f>+D8</f>
        <v>Desvio Ribas</v>
      </c>
      <c r="F7" s="36" t="s">
        <v>78</v>
      </c>
      <c r="G7" s="36" t="str">
        <f>+E8</f>
        <v>Guarapuava</v>
      </c>
      <c r="H7" s="36" t="str">
        <f>+G8</f>
        <v>Cascavel</v>
      </c>
      <c r="I7" s="7" t="s">
        <v>79</v>
      </c>
      <c r="J7" s="36" t="s">
        <v>15</v>
      </c>
      <c r="K7" s="36" t="str">
        <f>+J8</f>
        <v>Front. Argentina</v>
      </c>
      <c r="L7" s="36" t="str">
        <f>+K8</f>
        <v>J.V. Gonzalez</v>
      </c>
      <c r="M7" s="7" t="str">
        <f>+L8</f>
        <v>Salta</v>
      </c>
      <c r="N7" s="36" t="str">
        <f>+M8</f>
        <v>Socompa</v>
      </c>
      <c r="O7" s="7" t="str">
        <f>+N8</f>
        <v>A Victoria</v>
      </c>
    </row>
    <row r="8" spans="1:15" ht="16.5" thickBot="1">
      <c r="A8" s="172"/>
      <c r="B8" s="172"/>
      <c r="C8" s="37" t="s">
        <v>80</v>
      </c>
      <c r="D8" s="37" t="s">
        <v>16</v>
      </c>
      <c r="E8" s="37" t="s">
        <v>17</v>
      </c>
      <c r="F8" s="37" t="s">
        <v>81</v>
      </c>
      <c r="G8" s="37" t="s">
        <v>18</v>
      </c>
      <c r="H8" s="37" t="s">
        <v>82</v>
      </c>
      <c r="I8" s="37" t="s">
        <v>19</v>
      </c>
      <c r="J8" s="37" t="s">
        <v>83</v>
      </c>
      <c r="K8" s="37" t="s">
        <v>84</v>
      </c>
      <c r="L8" s="37" t="s">
        <v>20</v>
      </c>
      <c r="M8" s="37" t="s">
        <v>21</v>
      </c>
      <c r="N8" s="37" t="s">
        <v>22</v>
      </c>
      <c r="O8" s="37" t="s">
        <v>23</v>
      </c>
    </row>
    <row r="10" spans="1:15" ht="15.75">
      <c r="A10" s="80" t="s">
        <v>192</v>
      </c>
      <c r="B10" s="83"/>
      <c r="C10" s="59"/>
      <c r="D10" s="59"/>
      <c r="E10" s="100"/>
      <c r="F10" s="59"/>
      <c r="G10" s="100"/>
      <c r="H10" s="100"/>
      <c r="I10" s="59"/>
      <c r="J10" s="59"/>
      <c r="K10" s="59"/>
      <c r="L10" s="59"/>
      <c r="M10" s="59"/>
      <c r="N10" s="59"/>
      <c r="O10" s="59"/>
    </row>
    <row r="11" spans="1:15" ht="15.75">
      <c r="A11" s="80" t="s">
        <v>193</v>
      </c>
      <c r="B11" s="81"/>
      <c r="C11" s="94" t="s">
        <v>269</v>
      </c>
      <c r="D11" s="94" t="s">
        <v>252</v>
      </c>
      <c r="E11" s="109" t="s">
        <v>253</v>
      </c>
      <c r="F11" s="109" t="s">
        <v>253</v>
      </c>
      <c r="G11" s="109" t="s">
        <v>270</v>
      </c>
      <c r="H11" s="94" t="s">
        <v>252</v>
      </c>
      <c r="I11" s="94" t="s">
        <v>252</v>
      </c>
      <c r="J11" s="94" t="s">
        <v>252</v>
      </c>
      <c r="K11" s="94" t="s">
        <v>269</v>
      </c>
      <c r="L11" s="94" t="s">
        <v>269</v>
      </c>
      <c r="M11" s="94" t="str">
        <f>+E11</f>
        <v>GM G22 UB</v>
      </c>
      <c r="N11" s="94" t="str">
        <f t="shared" ref="N11:N17" si="0">+E11</f>
        <v>GM G22 UB</v>
      </c>
      <c r="O11" s="94" t="str">
        <f t="shared" ref="O11:O17" si="1">+N11</f>
        <v>GM G22 UB</v>
      </c>
    </row>
    <row r="12" spans="1:15" ht="15.75">
      <c r="A12" s="80" t="s">
        <v>194</v>
      </c>
      <c r="B12" s="81" t="s">
        <v>195</v>
      </c>
      <c r="C12" s="93">
        <v>2450</v>
      </c>
      <c r="D12" s="93">
        <v>3350</v>
      </c>
      <c r="E12" s="82">
        <v>1650</v>
      </c>
      <c r="F12" s="82">
        <v>1650</v>
      </c>
      <c r="G12" s="82">
        <v>1650</v>
      </c>
      <c r="H12" s="93">
        <v>3350</v>
      </c>
      <c r="I12" s="93">
        <v>3350</v>
      </c>
      <c r="J12" s="93">
        <v>3350</v>
      </c>
      <c r="K12" s="93">
        <v>2450</v>
      </c>
      <c r="L12" s="93">
        <v>2450</v>
      </c>
      <c r="M12" s="93">
        <f>+E12</f>
        <v>1650</v>
      </c>
      <c r="N12" s="93">
        <f t="shared" si="0"/>
        <v>1650</v>
      </c>
      <c r="O12" s="93">
        <f t="shared" si="1"/>
        <v>1650</v>
      </c>
    </row>
    <row r="13" spans="1:15" ht="15.75">
      <c r="A13" s="80" t="s">
        <v>196</v>
      </c>
      <c r="B13" s="81" t="s">
        <v>195</v>
      </c>
      <c r="C13" s="93">
        <v>2250</v>
      </c>
      <c r="D13" s="93">
        <v>3000</v>
      </c>
      <c r="E13" s="82">
        <v>1500</v>
      </c>
      <c r="F13" s="82">
        <v>1500</v>
      </c>
      <c r="G13" s="82">
        <v>1500</v>
      </c>
      <c r="H13" s="93">
        <v>3000</v>
      </c>
      <c r="I13" s="93">
        <v>3000</v>
      </c>
      <c r="J13" s="93">
        <v>3000</v>
      </c>
      <c r="K13" s="93">
        <v>2250</v>
      </c>
      <c r="L13" s="93">
        <v>2250</v>
      </c>
      <c r="M13" s="93">
        <f>+E13</f>
        <v>1500</v>
      </c>
      <c r="N13" s="93">
        <f t="shared" si="0"/>
        <v>1500</v>
      </c>
      <c r="O13" s="93">
        <f t="shared" si="1"/>
        <v>1500</v>
      </c>
    </row>
    <row r="14" spans="1:15" ht="15.75">
      <c r="A14" s="80" t="s">
        <v>197</v>
      </c>
      <c r="B14" s="81" t="s">
        <v>198</v>
      </c>
      <c r="C14" s="59">
        <v>120</v>
      </c>
      <c r="D14" s="59">
        <v>150</v>
      </c>
      <c r="E14" s="100">
        <v>74.400000000000006</v>
      </c>
      <c r="F14" s="100">
        <v>74.400000000000006</v>
      </c>
      <c r="G14" s="100">
        <v>74.400000000000006</v>
      </c>
      <c r="H14" s="59">
        <v>150</v>
      </c>
      <c r="I14" s="59">
        <v>150</v>
      </c>
      <c r="J14" s="59">
        <v>150</v>
      </c>
      <c r="K14" s="59">
        <v>120</v>
      </c>
      <c r="L14" s="59">
        <v>120</v>
      </c>
      <c r="M14" s="94">
        <f>+E14</f>
        <v>74.400000000000006</v>
      </c>
      <c r="N14" s="94">
        <f t="shared" si="0"/>
        <v>74.400000000000006</v>
      </c>
      <c r="O14" s="94">
        <f t="shared" si="1"/>
        <v>74.400000000000006</v>
      </c>
    </row>
    <row r="15" spans="1:15" ht="15.75">
      <c r="A15" s="80" t="s">
        <v>200</v>
      </c>
      <c r="B15" s="81" t="s">
        <v>201</v>
      </c>
      <c r="C15" s="59">
        <v>6</v>
      </c>
      <c r="D15" s="59">
        <v>6</v>
      </c>
      <c r="E15" s="100">
        <v>4</v>
      </c>
      <c r="F15" s="100">
        <v>4</v>
      </c>
      <c r="G15" s="100">
        <v>4</v>
      </c>
      <c r="H15" s="59">
        <v>6</v>
      </c>
      <c r="I15" s="59">
        <v>6</v>
      </c>
      <c r="J15" s="59">
        <v>6</v>
      </c>
      <c r="K15" s="59">
        <v>6</v>
      </c>
      <c r="L15" s="59">
        <v>6</v>
      </c>
      <c r="M15" s="59">
        <v>4</v>
      </c>
      <c r="N15" s="94">
        <f t="shared" si="0"/>
        <v>4</v>
      </c>
      <c r="O15" s="94">
        <f t="shared" si="1"/>
        <v>4</v>
      </c>
    </row>
    <row r="16" spans="1:15" ht="15.75">
      <c r="A16" s="80" t="s">
        <v>202</v>
      </c>
      <c r="B16" s="81" t="s">
        <v>40</v>
      </c>
      <c r="C16" s="97">
        <v>22</v>
      </c>
      <c r="D16" s="97">
        <v>25</v>
      </c>
      <c r="E16" s="97">
        <v>22</v>
      </c>
      <c r="F16" s="97">
        <v>22</v>
      </c>
      <c r="G16" s="97">
        <v>25</v>
      </c>
      <c r="H16" s="97">
        <v>25</v>
      </c>
      <c r="I16" s="97">
        <v>25</v>
      </c>
      <c r="J16" s="97">
        <v>25</v>
      </c>
      <c r="K16" s="97">
        <v>22</v>
      </c>
      <c r="L16" s="97">
        <v>22</v>
      </c>
      <c r="M16" s="97">
        <v>22</v>
      </c>
      <c r="N16" s="97">
        <v>22</v>
      </c>
      <c r="O16" s="97">
        <v>22</v>
      </c>
    </row>
    <row r="17" spans="1:15" ht="15.75">
      <c r="A17" s="80" t="s">
        <v>199</v>
      </c>
      <c r="B17" s="81" t="s">
        <v>92</v>
      </c>
      <c r="C17" s="97">
        <v>80</v>
      </c>
      <c r="D17" s="132">
        <f>+C17</f>
        <v>80</v>
      </c>
      <c r="E17" s="132">
        <f>+D17</f>
        <v>80</v>
      </c>
      <c r="F17" s="132">
        <f>+E17</f>
        <v>80</v>
      </c>
      <c r="G17" s="132">
        <f>+F17</f>
        <v>80</v>
      </c>
      <c r="H17" s="132">
        <f>+F17</f>
        <v>80</v>
      </c>
      <c r="I17" s="132">
        <f>+G17</f>
        <v>80</v>
      </c>
      <c r="J17" s="132">
        <f>+H17</f>
        <v>80</v>
      </c>
      <c r="K17" s="97">
        <v>80</v>
      </c>
      <c r="L17" s="97">
        <v>80</v>
      </c>
      <c r="M17" s="132">
        <f>+K17</f>
        <v>80</v>
      </c>
      <c r="N17" s="94">
        <f t="shared" si="0"/>
        <v>80</v>
      </c>
      <c r="O17" s="94">
        <f t="shared" si="1"/>
        <v>80</v>
      </c>
    </row>
    <row r="18" spans="1:15" ht="15.75">
      <c r="A18" s="80"/>
      <c r="B18" s="81"/>
      <c r="C18" s="100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94"/>
      <c r="O18" s="94"/>
    </row>
    <row r="19" spans="1:15" ht="15.75">
      <c r="A19" s="80" t="s">
        <v>208</v>
      </c>
      <c r="B19" s="81"/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59"/>
      <c r="O19" s="59"/>
    </row>
    <row r="20" spans="1:15" ht="15.75">
      <c r="A20" s="80" t="s">
        <v>193</v>
      </c>
      <c r="B20" s="81"/>
      <c r="C20" s="107" t="s">
        <v>254</v>
      </c>
      <c r="D20" s="107" t="s">
        <v>254</v>
      </c>
      <c r="E20" s="107" t="s">
        <v>254</v>
      </c>
      <c r="F20" s="107" t="s">
        <v>254</v>
      </c>
      <c r="G20" s="107" t="s">
        <v>254</v>
      </c>
      <c r="H20" s="107" t="s">
        <v>254</v>
      </c>
      <c r="I20" s="107" t="s">
        <v>254</v>
      </c>
      <c r="J20" s="107" t="s">
        <v>254</v>
      </c>
      <c r="K20" s="107" t="s">
        <v>254</v>
      </c>
      <c r="L20" s="107" t="s">
        <v>254</v>
      </c>
      <c r="M20" s="107" t="s">
        <v>254</v>
      </c>
      <c r="N20" s="98" t="s">
        <v>254</v>
      </c>
      <c r="O20" s="98" t="s">
        <v>254</v>
      </c>
    </row>
    <row r="21" spans="1:15" ht="15.75">
      <c r="A21" s="80" t="s">
        <v>197</v>
      </c>
      <c r="B21" s="81" t="s">
        <v>198</v>
      </c>
      <c r="C21" s="97">
        <v>80</v>
      </c>
      <c r="D21" s="97">
        <v>80</v>
      </c>
      <c r="E21" s="97">
        <v>80</v>
      </c>
      <c r="F21" s="97">
        <v>80</v>
      </c>
      <c r="G21" s="97">
        <v>80</v>
      </c>
      <c r="H21" s="97">
        <v>80</v>
      </c>
      <c r="I21" s="97">
        <v>80</v>
      </c>
      <c r="J21" s="97">
        <v>80</v>
      </c>
      <c r="K21" s="97">
        <v>80</v>
      </c>
      <c r="L21" s="97">
        <v>80</v>
      </c>
      <c r="M21" s="97">
        <v>80</v>
      </c>
      <c r="N21" s="95">
        <v>80</v>
      </c>
      <c r="O21" s="95">
        <f>+N21</f>
        <v>80</v>
      </c>
    </row>
    <row r="22" spans="1:15" ht="15.75">
      <c r="A22" s="80" t="s">
        <v>255</v>
      </c>
      <c r="B22" s="81" t="s">
        <v>198</v>
      </c>
      <c r="C22" s="97">
        <f>+C24+C25</f>
        <v>80</v>
      </c>
      <c r="D22" s="97">
        <f>+D24+D25</f>
        <v>80</v>
      </c>
      <c r="E22" s="97">
        <f t="shared" ref="E22:O22" si="2">+E24+E25</f>
        <v>80</v>
      </c>
      <c r="F22" s="97">
        <f t="shared" si="2"/>
        <v>80</v>
      </c>
      <c r="G22" s="97">
        <f t="shared" si="2"/>
        <v>80</v>
      </c>
      <c r="H22" s="97">
        <f>+H24+H25</f>
        <v>80</v>
      </c>
      <c r="I22" s="97">
        <f t="shared" si="2"/>
        <v>80</v>
      </c>
      <c r="J22" s="97">
        <f>+J24+J25</f>
        <v>80</v>
      </c>
      <c r="K22" s="97">
        <f>+K24+K25</f>
        <v>65</v>
      </c>
      <c r="L22" s="97">
        <f>+L24+L25</f>
        <v>65</v>
      </c>
      <c r="M22" s="97">
        <f t="shared" si="2"/>
        <v>65</v>
      </c>
      <c r="N22" s="95">
        <f t="shared" si="2"/>
        <v>65</v>
      </c>
      <c r="O22" s="95">
        <f t="shared" si="2"/>
        <v>65</v>
      </c>
    </row>
    <row r="23" spans="1:15" ht="15.75">
      <c r="A23" s="80" t="s">
        <v>256</v>
      </c>
      <c r="B23" s="81" t="s">
        <v>198</v>
      </c>
      <c r="C23" s="97">
        <f t="shared" ref="C23:M23" si="3">+C21-C25</f>
        <v>60</v>
      </c>
      <c r="D23" s="97">
        <f t="shared" si="3"/>
        <v>60</v>
      </c>
      <c r="E23" s="97">
        <f t="shared" si="3"/>
        <v>60</v>
      </c>
      <c r="F23" s="97">
        <f>+F21-F25</f>
        <v>60</v>
      </c>
      <c r="G23" s="97">
        <f t="shared" si="3"/>
        <v>60</v>
      </c>
      <c r="H23" s="97">
        <f>+H21-H25</f>
        <v>60</v>
      </c>
      <c r="I23" s="97">
        <f t="shared" si="3"/>
        <v>60</v>
      </c>
      <c r="J23" s="97">
        <f>+J21-J25</f>
        <v>60</v>
      </c>
      <c r="K23" s="97">
        <f>+K21-K25</f>
        <v>60</v>
      </c>
      <c r="L23" s="97">
        <f>+L21-L25</f>
        <v>60</v>
      </c>
      <c r="M23" s="97">
        <f t="shared" si="3"/>
        <v>60</v>
      </c>
      <c r="N23" s="95">
        <f>+E23</f>
        <v>60</v>
      </c>
      <c r="O23" s="95">
        <f>+E23</f>
        <v>60</v>
      </c>
    </row>
    <row r="24" spans="1:15" ht="15.75">
      <c r="A24" s="80" t="s">
        <v>257</v>
      </c>
      <c r="B24" s="81" t="s">
        <v>198</v>
      </c>
      <c r="C24" s="97">
        <f>+C37</f>
        <v>60</v>
      </c>
      <c r="D24" s="97">
        <f t="shared" ref="D24:O24" si="4">+D37</f>
        <v>60</v>
      </c>
      <c r="E24" s="97">
        <f t="shared" si="4"/>
        <v>60</v>
      </c>
      <c r="F24" s="97">
        <f t="shared" si="4"/>
        <v>60</v>
      </c>
      <c r="G24" s="97">
        <f t="shared" si="4"/>
        <v>60</v>
      </c>
      <c r="H24" s="97">
        <f t="shared" si="4"/>
        <v>60</v>
      </c>
      <c r="I24" s="97">
        <f t="shared" si="4"/>
        <v>60</v>
      </c>
      <c r="J24" s="97">
        <f t="shared" si="4"/>
        <v>60</v>
      </c>
      <c r="K24" s="97">
        <f t="shared" si="4"/>
        <v>45</v>
      </c>
      <c r="L24" s="97">
        <f>+L37</f>
        <v>45</v>
      </c>
      <c r="M24" s="97">
        <f t="shared" si="4"/>
        <v>45</v>
      </c>
      <c r="N24" s="97">
        <f t="shared" si="4"/>
        <v>45</v>
      </c>
      <c r="O24" s="97">
        <f t="shared" si="4"/>
        <v>45</v>
      </c>
    </row>
    <row r="25" spans="1:15" ht="15.75">
      <c r="A25" s="80" t="s">
        <v>258</v>
      </c>
      <c r="B25" s="81" t="s">
        <v>198</v>
      </c>
      <c r="C25" s="97">
        <v>20</v>
      </c>
      <c r="D25" s="97">
        <f t="shared" ref="D25:F26" si="5">+C25</f>
        <v>20</v>
      </c>
      <c r="E25" s="97">
        <f t="shared" si="5"/>
        <v>20</v>
      </c>
      <c r="F25" s="97">
        <f t="shared" si="5"/>
        <v>20</v>
      </c>
      <c r="G25" s="97">
        <f t="shared" ref="G25:M25" si="6">+E25</f>
        <v>20</v>
      </c>
      <c r="H25" s="97">
        <f t="shared" si="6"/>
        <v>20</v>
      </c>
      <c r="I25" s="97">
        <f t="shared" si="6"/>
        <v>20</v>
      </c>
      <c r="J25" s="97">
        <f t="shared" si="6"/>
        <v>20</v>
      </c>
      <c r="K25" s="97">
        <f t="shared" si="6"/>
        <v>20</v>
      </c>
      <c r="L25" s="97">
        <f t="shared" si="6"/>
        <v>20</v>
      </c>
      <c r="M25" s="97">
        <f t="shared" si="6"/>
        <v>20</v>
      </c>
      <c r="N25" s="97">
        <f>+M25</f>
        <v>20</v>
      </c>
      <c r="O25" s="97">
        <f>+N25</f>
        <v>20</v>
      </c>
    </row>
    <row r="26" spans="1:15" ht="15.75">
      <c r="A26" s="80" t="s">
        <v>200</v>
      </c>
      <c r="B26" s="81" t="s">
        <v>201</v>
      </c>
      <c r="C26" s="100">
        <v>4</v>
      </c>
      <c r="D26" s="100">
        <f t="shared" si="5"/>
        <v>4</v>
      </c>
      <c r="E26" s="100">
        <f t="shared" si="5"/>
        <v>4</v>
      </c>
      <c r="F26" s="100">
        <f t="shared" si="5"/>
        <v>4</v>
      </c>
      <c r="G26" s="100">
        <f>+E26</f>
        <v>4</v>
      </c>
      <c r="H26" s="100">
        <f>+F26</f>
        <v>4</v>
      </c>
      <c r="I26" s="100">
        <f>+G26</f>
        <v>4</v>
      </c>
      <c r="J26" s="100">
        <f>+H26</f>
        <v>4</v>
      </c>
      <c r="K26" s="100">
        <v>4</v>
      </c>
      <c r="L26" s="100">
        <v>4</v>
      </c>
      <c r="M26" s="100">
        <f>+K26</f>
        <v>4</v>
      </c>
      <c r="N26" s="59">
        <f>+E26</f>
        <v>4</v>
      </c>
      <c r="O26" s="59">
        <f>+E26</f>
        <v>4</v>
      </c>
    </row>
    <row r="27" spans="1:15" ht="15.75">
      <c r="A27" s="80" t="s">
        <v>212</v>
      </c>
      <c r="B27" s="81" t="s">
        <v>40</v>
      </c>
      <c r="C27" s="97">
        <v>16</v>
      </c>
      <c r="D27" s="97">
        <v>16</v>
      </c>
      <c r="E27" s="97">
        <v>16</v>
      </c>
      <c r="F27" s="97">
        <v>16</v>
      </c>
      <c r="G27" s="97">
        <v>16</v>
      </c>
      <c r="H27" s="97">
        <v>16</v>
      </c>
      <c r="I27" s="97">
        <v>16</v>
      </c>
      <c r="J27" s="97">
        <v>16</v>
      </c>
      <c r="K27" s="97">
        <v>15</v>
      </c>
      <c r="L27" s="97">
        <v>15</v>
      </c>
      <c r="M27" s="97">
        <v>15</v>
      </c>
      <c r="N27" s="97">
        <v>15</v>
      </c>
      <c r="O27" s="97">
        <v>15</v>
      </c>
    </row>
    <row r="28" spans="1:15" ht="15.75">
      <c r="A28" s="80" t="s">
        <v>199</v>
      </c>
      <c r="B28" s="81" t="s">
        <v>92</v>
      </c>
      <c r="C28" s="97">
        <v>90</v>
      </c>
      <c r="D28" s="132">
        <f>+C28</f>
        <v>90</v>
      </c>
      <c r="E28" s="132">
        <f>+D28</f>
        <v>90</v>
      </c>
      <c r="F28" s="132">
        <f>+E28</f>
        <v>90</v>
      </c>
      <c r="G28" s="132">
        <f>+E28</f>
        <v>90</v>
      </c>
      <c r="H28" s="132">
        <f>+F28</f>
        <v>90</v>
      </c>
      <c r="I28" s="132">
        <f>+G28</f>
        <v>90</v>
      </c>
      <c r="J28" s="132">
        <f>+H28</f>
        <v>90</v>
      </c>
      <c r="K28" s="97">
        <v>90</v>
      </c>
      <c r="L28" s="97">
        <v>90</v>
      </c>
      <c r="M28" s="132">
        <f>+K28</f>
        <v>90</v>
      </c>
      <c r="N28" s="95">
        <f>+E28</f>
        <v>90</v>
      </c>
      <c r="O28" s="95">
        <f>+E28</f>
        <v>90</v>
      </c>
    </row>
    <row r="29" spans="1:15">
      <c r="E29" s="116"/>
      <c r="G29" s="116"/>
    </row>
    <row r="30" spans="1:15" ht="15.75">
      <c r="A30" s="80" t="s">
        <v>259</v>
      </c>
      <c r="B30" s="83"/>
      <c r="C30" s="59"/>
      <c r="D30" s="59"/>
      <c r="E30" s="100"/>
      <c r="F30" s="59"/>
      <c r="G30" s="100"/>
      <c r="H30" s="59"/>
      <c r="I30" s="59"/>
      <c r="J30" s="59"/>
      <c r="K30" s="59"/>
      <c r="L30" s="59"/>
      <c r="M30" s="59"/>
      <c r="N30" s="59"/>
      <c r="O30" s="59"/>
    </row>
    <row r="31" spans="1:15" ht="15.75">
      <c r="A31" s="80" t="s">
        <v>214</v>
      </c>
      <c r="B31" s="81" t="s">
        <v>215</v>
      </c>
      <c r="C31" s="59">
        <v>2</v>
      </c>
      <c r="D31" s="59">
        <v>3</v>
      </c>
      <c r="E31" s="100">
        <v>3</v>
      </c>
      <c r="F31" s="59">
        <v>3</v>
      </c>
      <c r="G31" s="100">
        <v>3</v>
      </c>
      <c r="H31" s="59">
        <v>3</v>
      </c>
      <c r="I31" s="59">
        <v>2</v>
      </c>
      <c r="J31" s="59">
        <v>2</v>
      </c>
      <c r="K31" s="59">
        <v>3</v>
      </c>
      <c r="L31" s="59">
        <v>3</v>
      </c>
      <c r="M31" s="112">
        <v>2</v>
      </c>
      <c r="N31" s="112">
        <v>3</v>
      </c>
      <c r="O31" s="111">
        <v>3</v>
      </c>
    </row>
    <row r="32" spans="1:15" ht="15.75">
      <c r="A32" s="80" t="s">
        <v>31</v>
      </c>
      <c r="B32" s="81" t="s">
        <v>216</v>
      </c>
      <c r="C32" s="59">
        <v>45</v>
      </c>
      <c r="D32" s="59">
        <v>84</v>
      </c>
      <c r="E32" s="100">
        <v>40</v>
      </c>
      <c r="F32" s="59">
        <v>28</v>
      </c>
      <c r="G32" s="100">
        <v>33</v>
      </c>
      <c r="H32" s="59">
        <v>65</v>
      </c>
      <c r="I32" s="59">
        <v>65</v>
      </c>
      <c r="J32" s="59">
        <v>65</v>
      </c>
      <c r="K32" s="59">
        <v>45</v>
      </c>
      <c r="L32" s="59">
        <v>45</v>
      </c>
      <c r="M32" s="112">
        <v>12</v>
      </c>
      <c r="N32" s="112">
        <v>24</v>
      </c>
      <c r="O32" s="112">
        <v>24</v>
      </c>
    </row>
    <row r="33" spans="1:15" ht="15.75">
      <c r="A33" s="80" t="s">
        <v>33</v>
      </c>
      <c r="B33" s="81" t="s">
        <v>34</v>
      </c>
      <c r="C33" s="93">
        <f>+C32*C24</f>
        <v>2700</v>
      </c>
      <c r="D33" s="93">
        <f t="shared" ref="D33:O33" si="7">+D32*D24</f>
        <v>5040</v>
      </c>
      <c r="E33" s="82">
        <f t="shared" si="7"/>
        <v>2400</v>
      </c>
      <c r="F33" s="93">
        <f>+F32*F24</f>
        <v>1680</v>
      </c>
      <c r="G33" s="82">
        <f t="shared" si="7"/>
        <v>1980</v>
      </c>
      <c r="H33" s="93">
        <f>+H32*H24</f>
        <v>3900</v>
      </c>
      <c r="I33" s="93">
        <f t="shared" si="7"/>
        <v>3900</v>
      </c>
      <c r="J33" s="93">
        <f>+J32*J24</f>
        <v>3900</v>
      </c>
      <c r="K33" s="93">
        <f>+K32*K24</f>
        <v>2025</v>
      </c>
      <c r="L33" s="93">
        <f>+L32*L24</f>
        <v>2025</v>
      </c>
      <c r="M33" s="93">
        <f>+M32*M24</f>
        <v>540</v>
      </c>
      <c r="N33" s="93">
        <f t="shared" si="7"/>
        <v>1080</v>
      </c>
      <c r="O33" s="93">
        <f t="shared" si="7"/>
        <v>1080</v>
      </c>
    </row>
    <row r="34" spans="1:15" ht="15.75">
      <c r="A34" s="80" t="s">
        <v>197</v>
      </c>
      <c r="B34" s="81" t="s">
        <v>36</v>
      </c>
      <c r="C34" s="93">
        <f>+C22*C32</f>
        <v>3600</v>
      </c>
      <c r="D34" s="93">
        <f t="shared" ref="D34:O34" si="8">+D22*D32</f>
        <v>6720</v>
      </c>
      <c r="E34" s="82">
        <f t="shared" si="8"/>
        <v>3200</v>
      </c>
      <c r="F34" s="93">
        <f>+F22*F32</f>
        <v>2240</v>
      </c>
      <c r="G34" s="82">
        <f t="shared" si="8"/>
        <v>2640</v>
      </c>
      <c r="H34" s="93">
        <f>+H22*H32</f>
        <v>5200</v>
      </c>
      <c r="I34" s="93">
        <f t="shared" si="8"/>
        <v>5200</v>
      </c>
      <c r="J34" s="93">
        <f>+J22*J32</f>
        <v>5200</v>
      </c>
      <c r="K34" s="93">
        <f>+K22*K32</f>
        <v>2925</v>
      </c>
      <c r="L34" s="93">
        <f>+L22*L32</f>
        <v>2925</v>
      </c>
      <c r="M34" s="93">
        <f t="shared" si="8"/>
        <v>780</v>
      </c>
      <c r="N34" s="93">
        <f t="shared" si="8"/>
        <v>1560</v>
      </c>
      <c r="O34" s="93">
        <f t="shared" si="8"/>
        <v>1560</v>
      </c>
    </row>
    <row r="35" spans="1:15" ht="15.75">
      <c r="A35" s="80" t="s">
        <v>39</v>
      </c>
      <c r="B35" s="81" t="s">
        <v>40</v>
      </c>
      <c r="C35" s="103">
        <f>C32*C27+C31*C16</f>
        <v>764</v>
      </c>
      <c r="D35" s="103">
        <f>D32*D27+D31*D16</f>
        <v>1419</v>
      </c>
      <c r="E35" s="115">
        <f t="shared" ref="E35:O35" si="9">E32*E27+E31*E16</f>
        <v>706</v>
      </c>
      <c r="F35" s="103">
        <f>F32*F27+F31*F16</f>
        <v>514</v>
      </c>
      <c r="G35" s="103">
        <f t="shared" si="9"/>
        <v>603</v>
      </c>
      <c r="H35" s="103">
        <f>H32*H27+H31*H16</f>
        <v>1115</v>
      </c>
      <c r="I35" s="103">
        <f t="shared" si="9"/>
        <v>1090</v>
      </c>
      <c r="J35" s="103">
        <f>J32*J27+J31*J16</f>
        <v>1090</v>
      </c>
      <c r="K35" s="103">
        <f>K32*K27+K31*K16</f>
        <v>741</v>
      </c>
      <c r="L35" s="103">
        <f>L32*L27+L31*L16</f>
        <v>741</v>
      </c>
      <c r="M35" s="103">
        <f t="shared" si="9"/>
        <v>224</v>
      </c>
      <c r="N35" s="103">
        <f t="shared" si="9"/>
        <v>426</v>
      </c>
      <c r="O35" s="103">
        <f t="shared" si="9"/>
        <v>426</v>
      </c>
    </row>
    <row r="36" spans="1:15">
      <c r="B36" s="116"/>
      <c r="C36" s="116"/>
      <c r="D36" s="116"/>
      <c r="E36" s="116"/>
      <c r="F36" s="116"/>
      <c r="G36" s="116"/>
      <c r="H36" s="116"/>
      <c r="I36" s="116"/>
      <c r="J36" s="116"/>
      <c r="K36" s="133">
        <f>+[4]Frotas!K23</f>
        <v>952.34</v>
      </c>
      <c r="L36" s="133">
        <f>+[4]Frotas!M23</f>
        <v>435.34</v>
      </c>
      <c r="M36" s="133">
        <f>+[4]Frotas!M23</f>
        <v>435.34</v>
      </c>
      <c r="N36" s="133">
        <f>+[4]Frotas!N23</f>
        <v>637.34</v>
      </c>
      <c r="O36" s="133">
        <f>+[4]Frotas!O23</f>
        <v>637.34</v>
      </c>
    </row>
    <row r="37" spans="1:15" ht="15.75">
      <c r="B37" s="117" t="s">
        <v>260</v>
      </c>
      <c r="C37" s="99">
        <v>60</v>
      </c>
      <c r="D37" s="99">
        <v>60</v>
      </c>
      <c r="E37" s="99">
        <v>60</v>
      </c>
      <c r="F37" s="99">
        <v>60</v>
      </c>
      <c r="G37" s="99">
        <v>60</v>
      </c>
      <c r="H37" s="99">
        <v>60</v>
      </c>
      <c r="I37" s="99">
        <v>60</v>
      </c>
      <c r="J37" s="99">
        <v>60</v>
      </c>
      <c r="K37" s="99">
        <v>45</v>
      </c>
      <c r="L37" s="99">
        <v>45</v>
      </c>
      <c r="M37" s="99">
        <v>45</v>
      </c>
      <c r="N37" s="99">
        <v>45</v>
      </c>
      <c r="O37" s="99">
        <v>45</v>
      </c>
    </row>
    <row r="38" spans="1:15" ht="15.75">
      <c r="B38" s="81" t="s">
        <v>250</v>
      </c>
      <c r="C38" s="93">
        <f>+C32*C25*2+C31*C14*2+C33</f>
        <v>4980</v>
      </c>
      <c r="D38" s="93">
        <f t="shared" ref="D38:O38" si="10">+D32*D25*2+D31*D14*2+D33</f>
        <v>9300</v>
      </c>
      <c r="E38" s="82">
        <f t="shared" si="10"/>
        <v>4446.3999999999996</v>
      </c>
      <c r="F38" s="93">
        <f>+F32*F25*2+F31*F14*2+F33</f>
        <v>3246.4</v>
      </c>
      <c r="G38" s="93">
        <f t="shared" si="10"/>
        <v>3746.4</v>
      </c>
      <c r="H38" s="93">
        <f>+H32*H25*2+H31*H14*2+H33</f>
        <v>7400</v>
      </c>
      <c r="I38" s="93">
        <f t="shared" si="10"/>
        <v>7100</v>
      </c>
      <c r="J38" s="93">
        <f>+J32*J25*2+J31*J14*2+J33</f>
        <v>7100</v>
      </c>
      <c r="K38" s="93">
        <f t="shared" si="10"/>
        <v>4545</v>
      </c>
      <c r="L38" s="93">
        <f>+L32*L25*2+L31*L14*2+L33</f>
        <v>4545</v>
      </c>
      <c r="M38" s="93">
        <f t="shared" si="10"/>
        <v>1317.6</v>
      </c>
      <c r="N38" s="93">
        <f t="shared" si="10"/>
        <v>2486.4</v>
      </c>
      <c r="O38" s="93">
        <f t="shared" si="10"/>
        <v>2486.4</v>
      </c>
    </row>
    <row r="39" spans="1:15" ht="15.75">
      <c r="B39" s="81" t="s">
        <v>261</v>
      </c>
      <c r="C39" s="96">
        <f>+C38/C33</f>
        <v>1.8444444444444446</v>
      </c>
      <c r="D39" s="96">
        <f t="shared" ref="D39:O39" si="11">+D38/D33</f>
        <v>1.8452380952380953</v>
      </c>
      <c r="E39" s="132">
        <f t="shared" si="11"/>
        <v>1.8526666666666665</v>
      </c>
      <c r="F39" s="96">
        <f>+F38/F33</f>
        <v>1.9323809523809525</v>
      </c>
      <c r="G39" s="96">
        <f t="shared" si="11"/>
        <v>1.8921212121212121</v>
      </c>
      <c r="H39" s="96">
        <f>+H38/H33</f>
        <v>1.8974358974358974</v>
      </c>
      <c r="I39" s="96">
        <f t="shared" si="11"/>
        <v>1.8205128205128205</v>
      </c>
      <c r="J39" s="96">
        <f>+J38/J33</f>
        <v>1.8205128205128205</v>
      </c>
      <c r="K39" s="96">
        <f t="shared" si="11"/>
        <v>2.2444444444444445</v>
      </c>
      <c r="L39" s="96">
        <f>+L38/L33</f>
        <v>2.2444444444444445</v>
      </c>
      <c r="M39" s="96">
        <f t="shared" si="11"/>
        <v>2.44</v>
      </c>
      <c r="N39" s="96">
        <f t="shared" si="11"/>
        <v>2.3022222222222224</v>
      </c>
      <c r="O39" s="96">
        <f t="shared" si="11"/>
        <v>2.3022222222222224</v>
      </c>
    </row>
    <row r="41" spans="1:15" ht="15.75">
      <c r="A41" s="79" t="s">
        <v>262</v>
      </c>
      <c r="B41" s="118"/>
      <c r="C41" s="119">
        <f>+C32*C21+C31*C14</f>
        <v>3840</v>
      </c>
      <c r="D41" s="119">
        <f t="shared" ref="D41:O41" si="12">+D32*D21+D31*D14</f>
        <v>7170</v>
      </c>
      <c r="E41" s="119">
        <f t="shared" si="12"/>
        <v>3423.2</v>
      </c>
      <c r="F41" s="119">
        <f t="shared" si="12"/>
        <v>2463.1999999999998</v>
      </c>
      <c r="G41" s="119">
        <f t="shared" si="12"/>
        <v>2863.2</v>
      </c>
      <c r="H41" s="119">
        <f>+H32*H21+H31*H14</f>
        <v>5650</v>
      </c>
      <c r="I41" s="119">
        <f t="shared" si="12"/>
        <v>5500</v>
      </c>
      <c r="J41" s="119">
        <f>+J32*J21+J31*J14</f>
        <v>5500</v>
      </c>
      <c r="K41" s="119">
        <f t="shared" si="12"/>
        <v>3960</v>
      </c>
      <c r="L41" s="119">
        <f>+L32*L21+L31*L14</f>
        <v>3960</v>
      </c>
      <c r="M41" s="119">
        <f t="shared" si="12"/>
        <v>1108.8</v>
      </c>
      <c r="N41" s="119">
        <f t="shared" si="12"/>
        <v>2143.1999999999998</v>
      </c>
      <c r="O41" s="119">
        <f t="shared" si="12"/>
        <v>2143.1999999999998</v>
      </c>
    </row>
    <row r="42" spans="1:15" ht="15.75">
      <c r="A42" s="177" t="s">
        <v>263</v>
      </c>
      <c r="B42" s="120">
        <v>0.2</v>
      </c>
      <c r="C42" s="121">
        <f>+C31*C14*$B$42*1000</f>
        <v>48000</v>
      </c>
      <c r="D42" s="121">
        <f t="shared" ref="D42:O42" si="13">+D31*D14*$B$42*1000</f>
        <v>90000</v>
      </c>
      <c r="E42" s="121">
        <f t="shared" si="13"/>
        <v>44640.000000000007</v>
      </c>
      <c r="F42" s="121">
        <f>+F31*F14*$B$42*1000</f>
        <v>44640.000000000007</v>
      </c>
      <c r="G42" s="121">
        <f t="shared" si="13"/>
        <v>44640.000000000007</v>
      </c>
      <c r="H42" s="121">
        <f>+H31*H14*$B$42*1000</f>
        <v>90000</v>
      </c>
      <c r="I42" s="121">
        <f t="shared" si="13"/>
        <v>60000</v>
      </c>
      <c r="J42" s="121">
        <f>+J31*J14*$B$42*1000</f>
        <v>60000</v>
      </c>
      <c r="K42" s="121">
        <f t="shared" si="13"/>
        <v>72000</v>
      </c>
      <c r="L42" s="121">
        <f>+L31*L14*$B$42*1000</f>
        <v>72000</v>
      </c>
      <c r="M42" s="121">
        <f t="shared" si="13"/>
        <v>29760.000000000004</v>
      </c>
      <c r="N42" s="121">
        <f t="shared" si="13"/>
        <v>44640.000000000007</v>
      </c>
      <c r="O42" s="121">
        <f t="shared" si="13"/>
        <v>44640.000000000007</v>
      </c>
    </row>
    <row r="43" spans="1:15" ht="15.75">
      <c r="A43" s="178"/>
      <c r="B43" s="122">
        <v>0.22</v>
      </c>
      <c r="C43" s="108">
        <f>+C31*C14*$B$43*1000</f>
        <v>52800</v>
      </c>
      <c r="D43" s="108">
        <f t="shared" ref="D43:O43" si="14">+D31*D14*$B$43*1000</f>
        <v>99000</v>
      </c>
      <c r="E43" s="108">
        <f t="shared" si="14"/>
        <v>49104.000000000007</v>
      </c>
      <c r="F43" s="108">
        <f>+F31*F14*$B$43*1000</f>
        <v>49104.000000000007</v>
      </c>
      <c r="G43" s="108">
        <f t="shared" si="14"/>
        <v>49104.000000000007</v>
      </c>
      <c r="H43" s="108">
        <f>+H31*H14*$B$43*1000</f>
        <v>99000</v>
      </c>
      <c r="I43" s="108">
        <f t="shared" si="14"/>
        <v>66000</v>
      </c>
      <c r="J43" s="108">
        <f>+J31*J14*$B$43*1000</f>
        <v>66000</v>
      </c>
      <c r="K43" s="108">
        <f t="shared" si="14"/>
        <v>79200</v>
      </c>
      <c r="L43" s="108">
        <f>+L31*L14*$B$43*1000</f>
        <v>79200</v>
      </c>
      <c r="M43" s="108">
        <f t="shared" si="14"/>
        <v>32736.000000000004</v>
      </c>
      <c r="N43" s="108">
        <f t="shared" si="14"/>
        <v>49104.000000000007</v>
      </c>
      <c r="O43" s="108">
        <f t="shared" si="14"/>
        <v>49104.000000000007</v>
      </c>
    </row>
    <row r="44" spans="1:15" ht="15.75">
      <c r="A44" s="179"/>
      <c r="B44" s="123">
        <v>0.25</v>
      </c>
      <c r="C44" s="124">
        <f>+C31*C14*$B$44*1000</f>
        <v>60000</v>
      </c>
      <c r="D44" s="124">
        <f t="shared" ref="D44:O44" si="15">+D31*D14*$B$44*1000</f>
        <v>112500</v>
      </c>
      <c r="E44" s="124">
        <f t="shared" si="15"/>
        <v>55800.000000000007</v>
      </c>
      <c r="F44" s="124">
        <f>+F31*F14*$B$44*1000</f>
        <v>55800.000000000007</v>
      </c>
      <c r="G44" s="124">
        <f t="shared" si="15"/>
        <v>55800.000000000007</v>
      </c>
      <c r="H44" s="124">
        <f>+H31*H14*$B$44*1000</f>
        <v>112500</v>
      </c>
      <c r="I44" s="124">
        <f t="shared" si="15"/>
        <v>75000</v>
      </c>
      <c r="J44" s="124">
        <f>+J31*J14*$B$44*1000</f>
        <v>75000</v>
      </c>
      <c r="K44" s="124">
        <f t="shared" si="15"/>
        <v>90000</v>
      </c>
      <c r="L44" s="124">
        <f>+L31*L14*$B$44*1000</f>
        <v>90000</v>
      </c>
      <c r="M44" s="124">
        <f t="shared" si="15"/>
        <v>37200</v>
      </c>
      <c r="N44" s="124">
        <f t="shared" si="15"/>
        <v>55800.000000000007</v>
      </c>
      <c r="O44" s="124">
        <f t="shared" si="15"/>
        <v>55800.000000000007</v>
      </c>
    </row>
    <row r="45" spans="1:15" ht="15.75">
      <c r="A45" s="177" t="s">
        <v>264</v>
      </c>
      <c r="B45" s="120">
        <v>0.2</v>
      </c>
      <c r="C45" s="125">
        <f>+C42/C41</f>
        <v>12.5</v>
      </c>
      <c r="D45" s="125">
        <f t="shared" ref="D45:O45" si="16">+D42/D41</f>
        <v>12.552301255230125</v>
      </c>
      <c r="E45" s="125">
        <f t="shared" si="16"/>
        <v>13.040430007010986</v>
      </c>
      <c r="F45" s="125">
        <f>+F42/F41</f>
        <v>18.122767132185778</v>
      </c>
      <c r="G45" s="125">
        <f t="shared" si="16"/>
        <v>15.590947191953063</v>
      </c>
      <c r="H45" s="125">
        <f>+H42/H41</f>
        <v>15.929203539823009</v>
      </c>
      <c r="I45" s="125">
        <f t="shared" si="16"/>
        <v>10.909090909090908</v>
      </c>
      <c r="J45" s="125">
        <f>+J42/J41</f>
        <v>10.909090909090908</v>
      </c>
      <c r="K45" s="125">
        <f t="shared" si="16"/>
        <v>18.181818181818183</v>
      </c>
      <c r="L45" s="125">
        <f>+L42/L41</f>
        <v>18.181818181818183</v>
      </c>
      <c r="M45" s="125">
        <f t="shared" si="16"/>
        <v>26.839826839826845</v>
      </c>
      <c r="N45" s="125">
        <f t="shared" si="16"/>
        <v>20.828667413213893</v>
      </c>
      <c r="O45" s="125">
        <f t="shared" si="16"/>
        <v>20.828667413213893</v>
      </c>
    </row>
    <row r="46" spans="1:15" ht="15.75">
      <c r="A46" s="178"/>
      <c r="B46" s="122">
        <v>0.22</v>
      </c>
      <c r="C46" s="126">
        <f>+C43/C41</f>
        <v>13.75</v>
      </c>
      <c r="D46" s="126">
        <f t="shared" ref="D46:O46" si="17">+D43/D41</f>
        <v>13.807531380753138</v>
      </c>
      <c r="E46" s="126">
        <f t="shared" si="17"/>
        <v>14.344473007712086</v>
      </c>
      <c r="F46" s="126">
        <f>+F43/F41</f>
        <v>19.935043845404355</v>
      </c>
      <c r="G46" s="126">
        <f t="shared" si="17"/>
        <v>17.150041911148371</v>
      </c>
      <c r="H46" s="126">
        <f>+H43/H41</f>
        <v>17.522123893805311</v>
      </c>
      <c r="I46" s="126">
        <f t="shared" si="17"/>
        <v>12</v>
      </c>
      <c r="J46" s="126">
        <f>+J43/J41</f>
        <v>12</v>
      </c>
      <c r="K46" s="126">
        <f t="shared" si="17"/>
        <v>20</v>
      </c>
      <c r="L46" s="126">
        <f>+L43/L41</f>
        <v>20</v>
      </c>
      <c r="M46" s="126">
        <f t="shared" si="17"/>
        <v>29.523809523809529</v>
      </c>
      <c r="N46" s="126">
        <f t="shared" si="17"/>
        <v>22.911534154535278</v>
      </c>
      <c r="O46" s="126">
        <f t="shared" si="17"/>
        <v>22.911534154535278</v>
      </c>
    </row>
    <row r="47" spans="1:15" ht="15.75">
      <c r="A47" s="179"/>
      <c r="B47" s="123">
        <v>0.25</v>
      </c>
      <c r="C47" s="127">
        <f>+C44/C41</f>
        <v>15.625</v>
      </c>
      <c r="D47" s="127">
        <f t="shared" ref="D47:O47" si="18">+D44/D41</f>
        <v>15.690376569037657</v>
      </c>
      <c r="E47" s="127">
        <f t="shared" si="18"/>
        <v>16.300537508763732</v>
      </c>
      <c r="F47" s="127">
        <f>+F44/F41</f>
        <v>22.653458915232221</v>
      </c>
      <c r="G47" s="127">
        <f t="shared" si="18"/>
        <v>19.488683989941329</v>
      </c>
      <c r="H47" s="127">
        <f>+H44/H41</f>
        <v>19.911504424778762</v>
      </c>
      <c r="I47" s="127">
        <f t="shared" si="18"/>
        <v>13.636363636363637</v>
      </c>
      <c r="J47" s="127">
        <f>+J44/J41</f>
        <v>13.636363636363637</v>
      </c>
      <c r="K47" s="127">
        <f t="shared" si="18"/>
        <v>22.727272727272727</v>
      </c>
      <c r="L47" s="127">
        <f>+L44/L41</f>
        <v>22.727272727272727</v>
      </c>
      <c r="M47" s="127">
        <f t="shared" si="18"/>
        <v>33.549783549783548</v>
      </c>
      <c r="N47" s="127">
        <f t="shared" si="18"/>
        <v>26.035834266517362</v>
      </c>
      <c r="O47" s="127">
        <f t="shared" si="18"/>
        <v>26.035834266517362</v>
      </c>
    </row>
    <row r="48" spans="1:15" ht="15.75">
      <c r="A48" s="79" t="s">
        <v>265</v>
      </c>
      <c r="B48" s="78">
        <v>1.25</v>
      </c>
      <c r="C48" s="128">
        <f>+B48</f>
        <v>1.25</v>
      </c>
      <c r="D48" s="128">
        <f>+C48</f>
        <v>1.25</v>
      </c>
      <c r="E48" s="128">
        <f>+D48</f>
        <v>1.25</v>
      </c>
      <c r="F48" s="128">
        <f>+E48</f>
        <v>1.25</v>
      </c>
      <c r="G48" s="128">
        <f t="shared" ref="G48:M48" si="19">+E48</f>
        <v>1.25</v>
      </c>
      <c r="H48" s="128">
        <f t="shared" si="19"/>
        <v>1.25</v>
      </c>
      <c r="I48" s="128">
        <f t="shared" si="19"/>
        <v>1.25</v>
      </c>
      <c r="J48" s="128">
        <f t="shared" si="19"/>
        <v>1.25</v>
      </c>
      <c r="K48" s="128">
        <f t="shared" si="19"/>
        <v>1.25</v>
      </c>
      <c r="L48" s="128">
        <f t="shared" si="19"/>
        <v>1.25</v>
      </c>
      <c r="M48" s="128">
        <f t="shared" si="19"/>
        <v>1.25</v>
      </c>
      <c r="N48" s="128">
        <f>+M48</f>
        <v>1.25</v>
      </c>
      <c r="O48" s="128">
        <f>+N48</f>
        <v>1.25</v>
      </c>
    </row>
    <row r="49" spans="1:15" ht="15.75">
      <c r="A49" s="178" t="s">
        <v>266</v>
      </c>
      <c r="B49" s="122">
        <v>0.2</v>
      </c>
      <c r="C49" s="126">
        <f>+C45-C48</f>
        <v>11.25</v>
      </c>
      <c r="D49" s="126">
        <f t="shared" ref="D49:O49" si="20">+D45-D48</f>
        <v>11.302301255230125</v>
      </c>
      <c r="E49" s="126">
        <f t="shared" si="20"/>
        <v>11.790430007010986</v>
      </c>
      <c r="F49" s="126">
        <f>+F45-F48</f>
        <v>16.872767132185778</v>
      </c>
      <c r="G49" s="126">
        <f t="shared" si="20"/>
        <v>14.340947191953063</v>
      </c>
      <c r="H49" s="126">
        <f>+H45-H48</f>
        <v>14.679203539823009</v>
      </c>
      <c r="I49" s="126">
        <f t="shared" si="20"/>
        <v>9.6590909090909083</v>
      </c>
      <c r="J49" s="126">
        <f>+J45-J48</f>
        <v>9.6590909090909083</v>
      </c>
      <c r="K49" s="126">
        <f t="shared" si="20"/>
        <v>16.931818181818183</v>
      </c>
      <c r="L49" s="126">
        <f>+L45-L48</f>
        <v>16.931818181818183</v>
      </c>
      <c r="M49" s="126">
        <f t="shared" si="20"/>
        <v>25.589826839826845</v>
      </c>
      <c r="N49" s="126">
        <f t="shared" si="20"/>
        <v>19.578667413213893</v>
      </c>
      <c r="O49" s="102">
        <f t="shared" si="20"/>
        <v>19.578667413213893</v>
      </c>
    </row>
    <row r="50" spans="1:15" ht="15.75">
      <c r="A50" s="178"/>
      <c r="B50" s="122">
        <v>0.22</v>
      </c>
      <c r="C50" s="126">
        <f>+C46-C48</f>
        <v>12.5</v>
      </c>
      <c r="D50" s="126">
        <f t="shared" ref="D50:O50" si="21">+D46-D48</f>
        <v>12.557531380753138</v>
      </c>
      <c r="E50" s="126">
        <f t="shared" si="21"/>
        <v>13.094473007712086</v>
      </c>
      <c r="F50" s="126">
        <f>+F46-F48</f>
        <v>18.685043845404355</v>
      </c>
      <c r="G50" s="126">
        <f t="shared" si="21"/>
        <v>15.900041911148371</v>
      </c>
      <c r="H50" s="126">
        <f>+H46-H48</f>
        <v>16.272123893805311</v>
      </c>
      <c r="I50" s="126">
        <f t="shared" si="21"/>
        <v>10.75</v>
      </c>
      <c r="J50" s="126">
        <f>+J46-J48</f>
        <v>10.75</v>
      </c>
      <c r="K50" s="126">
        <f t="shared" si="21"/>
        <v>18.75</v>
      </c>
      <c r="L50" s="126">
        <f>+L46-L48</f>
        <v>18.75</v>
      </c>
      <c r="M50" s="126">
        <f t="shared" si="21"/>
        <v>28.273809523809529</v>
      </c>
      <c r="N50" s="126">
        <f t="shared" si="21"/>
        <v>21.661534154535278</v>
      </c>
      <c r="O50" s="102">
        <f t="shared" si="21"/>
        <v>21.661534154535278</v>
      </c>
    </row>
    <row r="51" spans="1:15" ht="15.75">
      <c r="A51" s="179"/>
      <c r="B51" s="123">
        <v>0.25</v>
      </c>
      <c r="C51" s="127">
        <f>+C47-C48</f>
        <v>14.375</v>
      </c>
      <c r="D51" s="127">
        <f t="shared" ref="D51:O51" si="22">+D47-D48</f>
        <v>14.440376569037657</v>
      </c>
      <c r="E51" s="127">
        <f t="shared" si="22"/>
        <v>15.050537508763732</v>
      </c>
      <c r="F51" s="127">
        <f>+F47-F48</f>
        <v>21.403458915232221</v>
      </c>
      <c r="G51" s="127">
        <f t="shared" si="22"/>
        <v>18.238683989941329</v>
      </c>
      <c r="H51" s="127">
        <f>+H47-H48</f>
        <v>18.661504424778762</v>
      </c>
      <c r="I51" s="127">
        <f t="shared" si="22"/>
        <v>12.386363636363637</v>
      </c>
      <c r="J51" s="127">
        <f>+J47-J48</f>
        <v>12.386363636363637</v>
      </c>
      <c r="K51" s="127">
        <f t="shared" si="22"/>
        <v>21.477272727272727</v>
      </c>
      <c r="L51" s="127">
        <f>+L47-L48</f>
        <v>21.477272727272727</v>
      </c>
      <c r="M51" s="127">
        <f t="shared" si="22"/>
        <v>32.299783549783548</v>
      </c>
      <c r="N51" s="127">
        <f t="shared" si="22"/>
        <v>24.785834266517362</v>
      </c>
      <c r="O51" s="102">
        <f t="shared" si="22"/>
        <v>24.785834266517362</v>
      </c>
    </row>
    <row r="52" spans="1:15" ht="15.75">
      <c r="A52" s="177" t="s">
        <v>267</v>
      </c>
      <c r="B52" s="120">
        <v>0.2</v>
      </c>
      <c r="C52" s="129">
        <f>+C49/10</f>
        <v>1.125</v>
      </c>
      <c r="D52" s="129">
        <f t="shared" ref="D52:O52" si="23">+D49/10</f>
        <v>1.1302301255230125</v>
      </c>
      <c r="E52" s="129">
        <f t="shared" si="23"/>
        <v>1.1790430007010986</v>
      </c>
      <c r="F52" s="129">
        <f>+F49/10</f>
        <v>1.6872767132185778</v>
      </c>
      <c r="G52" s="129">
        <f t="shared" si="23"/>
        <v>1.4340947191953064</v>
      </c>
      <c r="H52" s="129">
        <f>+H49/10</f>
        <v>1.4679203539823009</v>
      </c>
      <c r="I52" s="129">
        <f t="shared" si="23"/>
        <v>0.96590909090909083</v>
      </c>
      <c r="J52" s="129">
        <f>+J49/10</f>
        <v>0.96590909090909083</v>
      </c>
      <c r="K52" s="129">
        <f t="shared" si="23"/>
        <v>1.6931818181818183</v>
      </c>
      <c r="L52" s="129">
        <f>+L49/10</f>
        <v>1.6931818181818183</v>
      </c>
      <c r="M52" s="129">
        <f t="shared" si="23"/>
        <v>2.5589826839826846</v>
      </c>
      <c r="N52" s="129">
        <f t="shared" si="23"/>
        <v>1.9578667413213893</v>
      </c>
      <c r="O52" s="129">
        <f t="shared" si="23"/>
        <v>1.9578667413213893</v>
      </c>
    </row>
    <row r="53" spans="1:15" ht="15.75">
      <c r="A53" s="178"/>
      <c r="B53" s="122">
        <v>0.22</v>
      </c>
      <c r="C53" s="130">
        <f t="shared" ref="C53:O54" si="24">+C50/10</f>
        <v>1.25</v>
      </c>
      <c r="D53" s="130">
        <f t="shared" si="24"/>
        <v>1.2557531380753137</v>
      </c>
      <c r="E53" s="130">
        <f t="shared" si="24"/>
        <v>1.3094473007712086</v>
      </c>
      <c r="F53" s="130">
        <f>+F50/10</f>
        <v>1.8685043845404354</v>
      </c>
      <c r="G53" s="130">
        <f t="shared" si="24"/>
        <v>1.590004191114837</v>
      </c>
      <c r="H53" s="130">
        <f>+H50/10</f>
        <v>1.627212389380531</v>
      </c>
      <c r="I53" s="130">
        <f t="shared" si="24"/>
        <v>1.075</v>
      </c>
      <c r="J53" s="130">
        <f>+J50/10</f>
        <v>1.075</v>
      </c>
      <c r="K53" s="130">
        <f t="shared" si="24"/>
        <v>1.875</v>
      </c>
      <c r="L53" s="130">
        <f>+L50/10</f>
        <v>1.875</v>
      </c>
      <c r="M53" s="130">
        <f t="shared" si="24"/>
        <v>2.827380952380953</v>
      </c>
      <c r="N53" s="130">
        <f t="shared" si="24"/>
        <v>2.166153415453528</v>
      </c>
      <c r="O53" s="130">
        <f t="shared" si="24"/>
        <v>2.166153415453528</v>
      </c>
    </row>
    <row r="54" spans="1:15" ht="15.75">
      <c r="A54" s="179"/>
      <c r="B54" s="123">
        <v>0.25</v>
      </c>
      <c r="C54" s="131">
        <f t="shared" si="24"/>
        <v>1.4375</v>
      </c>
      <c r="D54" s="131">
        <f t="shared" si="24"/>
        <v>1.4440376569037656</v>
      </c>
      <c r="E54" s="131">
        <f t="shared" si="24"/>
        <v>1.5050537508763733</v>
      </c>
      <c r="F54" s="131">
        <f>+F51/10</f>
        <v>2.1403458915232223</v>
      </c>
      <c r="G54" s="131">
        <f t="shared" si="24"/>
        <v>1.8238683989941329</v>
      </c>
      <c r="H54" s="131">
        <f>+H51/10</f>
        <v>1.8661504424778763</v>
      </c>
      <c r="I54" s="131">
        <f t="shared" si="24"/>
        <v>1.2386363636363638</v>
      </c>
      <c r="J54" s="131">
        <f>+J51/10</f>
        <v>1.2386363636363638</v>
      </c>
      <c r="K54" s="131">
        <f t="shared" si="24"/>
        <v>2.1477272727272725</v>
      </c>
      <c r="L54" s="131">
        <f>+L51/10</f>
        <v>2.1477272727272725</v>
      </c>
      <c r="M54" s="131">
        <f t="shared" si="24"/>
        <v>3.2299783549783547</v>
      </c>
      <c r="N54" s="131">
        <f t="shared" si="24"/>
        <v>2.4785834266517361</v>
      </c>
      <c r="O54" s="131">
        <f t="shared" si="24"/>
        <v>2.4785834266517361</v>
      </c>
    </row>
  </sheetData>
  <mergeCells count="15">
    <mergeCell ref="K6:M6"/>
    <mergeCell ref="A42:A44"/>
    <mergeCell ref="A45:A47"/>
    <mergeCell ref="A49:A51"/>
    <mergeCell ref="A52:A54"/>
    <mergeCell ref="A4:A8"/>
    <mergeCell ref="B4:B8"/>
    <mergeCell ref="C4:O4"/>
    <mergeCell ref="C5:G5"/>
    <mergeCell ref="I5:J5"/>
    <mergeCell ref="K5:M5"/>
    <mergeCell ref="N5:O5"/>
    <mergeCell ref="C6:F6"/>
    <mergeCell ref="G6:H6"/>
    <mergeCell ref="I6:J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58"/>
  <sheetViews>
    <sheetView workbookViewId="0">
      <selection activeCell="C54" sqref="C54"/>
    </sheetView>
  </sheetViews>
  <sheetFormatPr defaultRowHeight="15"/>
  <cols>
    <col min="1" max="1" width="35.7109375" style="32" customWidth="1"/>
    <col min="2" max="2" width="12.42578125" style="32" customWidth="1"/>
    <col min="3" max="3" width="11.7109375" style="32" bestFit="1" customWidth="1"/>
    <col min="4" max="5" width="14.5703125" style="32" bestFit="1" customWidth="1"/>
    <col min="6" max="6" width="14.7109375" style="32" customWidth="1"/>
    <col min="7" max="8" width="13.5703125" style="32" customWidth="1"/>
    <col min="9" max="9" width="16" style="32" customWidth="1"/>
    <col min="10" max="10" width="15.140625" style="32" customWidth="1"/>
    <col min="11" max="12" width="13.7109375" style="32" customWidth="1"/>
    <col min="13" max="13" width="13.28515625" style="32" customWidth="1"/>
    <col min="14" max="14" width="13.5703125" style="32" customWidth="1"/>
    <col min="15" max="15" width="14" style="32" customWidth="1"/>
  </cols>
  <sheetData>
    <row r="2" spans="1:15" ht="15.75">
      <c r="A2" s="59" t="s">
        <v>163</v>
      </c>
    </row>
    <row r="3" spans="1:15" ht="15.75">
      <c r="A3" s="59" t="s">
        <v>251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</row>
    <row r="4" spans="1:15" ht="15.75">
      <c r="A4" s="170" t="s">
        <v>1</v>
      </c>
      <c r="B4" s="170" t="s">
        <v>2</v>
      </c>
      <c r="C4" s="174" t="s">
        <v>3</v>
      </c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</row>
    <row r="5" spans="1:15" ht="15.75">
      <c r="A5" s="171"/>
      <c r="B5" s="171"/>
      <c r="C5" s="175" t="s">
        <v>4</v>
      </c>
      <c r="D5" s="175"/>
      <c r="E5" s="175"/>
      <c r="F5" s="175"/>
      <c r="G5" s="175"/>
      <c r="H5" s="78"/>
      <c r="I5" s="175" t="s">
        <v>5</v>
      </c>
      <c r="J5" s="175"/>
      <c r="K5" s="175" t="s">
        <v>6</v>
      </c>
      <c r="L5" s="175"/>
      <c r="M5" s="175"/>
      <c r="N5" s="175" t="s">
        <v>7</v>
      </c>
      <c r="O5" s="175"/>
    </row>
    <row r="6" spans="1:15" ht="15.75">
      <c r="A6" s="171"/>
      <c r="B6" s="171"/>
      <c r="C6" s="176" t="s">
        <v>8</v>
      </c>
      <c r="D6" s="176"/>
      <c r="E6" s="176"/>
      <c r="F6" s="176"/>
      <c r="G6" s="175" t="s">
        <v>9</v>
      </c>
      <c r="H6" s="175"/>
      <c r="I6" s="176" t="s">
        <v>10</v>
      </c>
      <c r="J6" s="176"/>
      <c r="K6" s="176" t="s">
        <v>11</v>
      </c>
      <c r="L6" s="176"/>
      <c r="M6" s="176"/>
      <c r="N6" s="78" t="s">
        <v>12</v>
      </c>
      <c r="O6" s="78" t="s">
        <v>13</v>
      </c>
    </row>
    <row r="7" spans="1:15" ht="15.75">
      <c r="A7" s="171"/>
      <c r="B7" s="171"/>
      <c r="C7" s="7" t="s">
        <v>14</v>
      </c>
      <c r="D7" s="36" t="str">
        <f>+C8</f>
        <v>Iguaçu</v>
      </c>
      <c r="E7" s="7" t="str">
        <f>+D8</f>
        <v>Desvio Ribas</v>
      </c>
      <c r="F7" s="36" t="s">
        <v>78</v>
      </c>
      <c r="G7" s="36" t="str">
        <f>+E8</f>
        <v>Guarapuava</v>
      </c>
      <c r="H7" s="36" t="str">
        <f>+G8</f>
        <v>Cascavel</v>
      </c>
      <c r="I7" s="7" t="s">
        <v>79</v>
      </c>
      <c r="J7" s="36" t="s">
        <v>15</v>
      </c>
      <c r="K7" s="36" t="str">
        <f>+J8</f>
        <v>Front. Argentina</v>
      </c>
      <c r="L7" s="36" t="str">
        <f>+K8</f>
        <v>J.V. Gonzalez</v>
      </c>
      <c r="M7" s="7" t="str">
        <f>+L8</f>
        <v>Salta</v>
      </c>
      <c r="N7" s="36" t="str">
        <f>+M8</f>
        <v>Socompa</v>
      </c>
      <c r="O7" s="7" t="str">
        <f>+N8</f>
        <v>A Victoria</v>
      </c>
    </row>
    <row r="8" spans="1:15" ht="16.5" thickBot="1">
      <c r="A8" s="172"/>
      <c r="B8" s="172"/>
      <c r="C8" s="37" t="s">
        <v>80</v>
      </c>
      <c r="D8" s="37" t="s">
        <v>16</v>
      </c>
      <c r="E8" s="37" t="s">
        <v>17</v>
      </c>
      <c r="F8" s="37" t="s">
        <v>81</v>
      </c>
      <c r="G8" s="37" t="s">
        <v>18</v>
      </c>
      <c r="H8" s="37" t="s">
        <v>82</v>
      </c>
      <c r="I8" s="37" t="s">
        <v>19</v>
      </c>
      <c r="J8" s="37" t="s">
        <v>83</v>
      </c>
      <c r="K8" s="37" t="s">
        <v>84</v>
      </c>
      <c r="L8" s="37" t="s">
        <v>20</v>
      </c>
      <c r="M8" s="37" t="s">
        <v>21</v>
      </c>
      <c r="N8" s="37" t="s">
        <v>22</v>
      </c>
      <c r="O8" s="37" t="s">
        <v>23</v>
      </c>
    </row>
    <row r="10" spans="1:15" ht="15.75">
      <c r="A10" s="80" t="s">
        <v>192</v>
      </c>
      <c r="B10" s="83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</row>
    <row r="11" spans="1:15" ht="15.75">
      <c r="A11" s="80" t="s">
        <v>193</v>
      </c>
      <c r="B11" s="81"/>
      <c r="C11" s="94" t="s">
        <v>252</v>
      </c>
      <c r="D11" s="94" t="s">
        <v>252</v>
      </c>
      <c r="E11" s="94" t="s">
        <v>252</v>
      </c>
      <c r="F11" s="94" t="s">
        <v>252</v>
      </c>
      <c r="G11" s="94" t="s">
        <v>252</v>
      </c>
      <c r="H11" s="94" t="s">
        <v>252</v>
      </c>
      <c r="I11" s="94" t="s">
        <v>252</v>
      </c>
      <c r="J11" s="94" t="s">
        <v>252</v>
      </c>
      <c r="K11" s="94" t="s">
        <v>252</v>
      </c>
      <c r="L11" s="94" t="s">
        <v>252</v>
      </c>
      <c r="M11" s="109" t="s">
        <v>253</v>
      </c>
      <c r="N11" s="109" t="s">
        <v>253</v>
      </c>
      <c r="O11" s="109" t="s">
        <v>253</v>
      </c>
    </row>
    <row r="12" spans="1:15" ht="15.75">
      <c r="A12" s="80" t="s">
        <v>194</v>
      </c>
      <c r="B12" s="81" t="s">
        <v>195</v>
      </c>
      <c r="C12" s="93">
        <v>3350</v>
      </c>
      <c r="D12" s="93">
        <v>3350</v>
      </c>
      <c r="E12" s="93">
        <v>3350</v>
      </c>
      <c r="F12" s="93">
        <v>3350</v>
      </c>
      <c r="G12" s="93">
        <v>3350</v>
      </c>
      <c r="H12" s="93">
        <v>3350</v>
      </c>
      <c r="I12" s="93">
        <v>3350</v>
      </c>
      <c r="J12" s="93">
        <v>3350</v>
      </c>
      <c r="K12" s="93">
        <v>3350</v>
      </c>
      <c r="L12" s="93">
        <v>3350</v>
      </c>
      <c r="M12" s="110">
        <f>1650</f>
        <v>1650</v>
      </c>
      <c r="N12" s="110">
        <f>1650</f>
        <v>1650</v>
      </c>
      <c r="O12" s="110">
        <f>1650</f>
        <v>1650</v>
      </c>
    </row>
    <row r="13" spans="1:15" ht="15.75">
      <c r="A13" s="80" t="s">
        <v>196</v>
      </c>
      <c r="B13" s="81" t="s">
        <v>195</v>
      </c>
      <c r="C13" s="93">
        <v>3000</v>
      </c>
      <c r="D13" s="93">
        <v>3000</v>
      </c>
      <c r="E13" s="93">
        <v>3000</v>
      </c>
      <c r="F13" s="93">
        <v>3000</v>
      </c>
      <c r="G13" s="93">
        <v>3000</v>
      </c>
      <c r="H13" s="93">
        <v>3000</v>
      </c>
      <c r="I13" s="93">
        <v>3000</v>
      </c>
      <c r="J13" s="93">
        <v>3000</v>
      </c>
      <c r="K13" s="93">
        <v>3000</v>
      </c>
      <c r="L13" s="93">
        <v>3000</v>
      </c>
      <c r="M13" s="110">
        <v>1500</v>
      </c>
      <c r="N13" s="110">
        <v>1500</v>
      </c>
      <c r="O13" s="110">
        <v>1500</v>
      </c>
    </row>
    <row r="14" spans="1:15" ht="15.75">
      <c r="A14" s="80" t="s">
        <v>197</v>
      </c>
      <c r="B14" s="81" t="s">
        <v>198</v>
      </c>
      <c r="C14" s="94">
        <v>150</v>
      </c>
      <c r="D14" s="94">
        <v>150</v>
      </c>
      <c r="E14" s="94">
        <v>150</v>
      </c>
      <c r="F14" s="94">
        <v>150</v>
      </c>
      <c r="G14" s="94">
        <v>150</v>
      </c>
      <c r="H14" s="94">
        <v>150</v>
      </c>
      <c r="I14" s="94">
        <v>150</v>
      </c>
      <c r="J14" s="94">
        <v>150</v>
      </c>
      <c r="K14" s="94">
        <v>120</v>
      </c>
      <c r="L14" s="94">
        <v>120</v>
      </c>
      <c r="M14" s="111">
        <v>74.400000000000006</v>
      </c>
      <c r="N14" s="111">
        <v>74.400000000000006</v>
      </c>
      <c r="O14" s="111">
        <v>74.400000000000006</v>
      </c>
    </row>
    <row r="15" spans="1:15" ht="15.75">
      <c r="A15" s="80" t="s">
        <v>200</v>
      </c>
      <c r="B15" s="81" t="s">
        <v>201</v>
      </c>
      <c r="C15" s="94">
        <v>6</v>
      </c>
      <c r="D15" s="94">
        <v>6</v>
      </c>
      <c r="E15" s="94">
        <v>6</v>
      </c>
      <c r="F15" s="94">
        <v>6</v>
      </c>
      <c r="G15" s="94">
        <v>6</v>
      </c>
      <c r="H15" s="94">
        <v>6</v>
      </c>
      <c r="I15" s="94">
        <v>6</v>
      </c>
      <c r="J15" s="94">
        <v>6</v>
      </c>
      <c r="K15" s="94">
        <v>6</v>
      </c>
      <c r="L15" s="94">
        <v>6</v>
      </c>
      <c r="M15" s="112">
        <v>4</v>
      </c>
      <c r="N15" s="112">
        <v>4</v>
      </c>
      <c r="O15" s="112">
        <v>4</v>
      </c>
    </row>
    <row r="16" spans="1:15" ht="15.75">
      <c r="A16" s="80" t="s">
        <v>202</v>
      </c>
      <c r="B16" s="81" t="s">
        <v>40</v>
      </c>
      <c r="C16" s="97">
        <v>25</v>
      </c>
      <c r="D16" s="97">
        <v>25</v>
      </c>
      <c r="E16" s="97">
        <v>25</v>
      </c>
      <c r="F16" s="97">
        <v>25</v>
      </c>
      <c r="G16" s="97">
        <v>25</v>
      </c>
      <c r="H16" s="97">
        <v>25</v>
      </c>
      <c r="I16" s="97">
        <v>25</v>
      </c>
      <c r="J16" s="97">
        <v>25</v>
      </c>
      <c r="K16" s="97">
        <v>25</v>
      </c>
      <c r="L16" s="97">
        <v>25</v>
      </c>
      <c r="M16" s="113">
        <v>20</v>
      </c>
      <c r="N16" s="113">
        <v>20</v>
      </c>
      <c r="O16" s="113">
        <v>20</v>
      </c>
    </row>
    <row r="17" spans="1:15" ht="15.75">
      <c r="A17" s="80" t="s">
        <v>199</v>
      </c>
      <c r="B17" s="81" t="s">
        <v>92</v>
      </c>
      <c r="C17" s="97">
        <v>80</v>
      </c>
      <c r="D17" s="97">
        <v>80</v>
      </c>
      <c r="E17" s="97">
        <v>80</v>
      </c>
      <c r="F17" s="97">
        <v>80</v>
      </c>
      <c r="G17" s="97">
        <v>80</v>
      </c>
      <c r="H17" s="97">
        <v>80</v>
      </c>
      <c r="I17" s="97">
        <v>80</v>
      </c>
      <c r="J17" s="97">
        <v>80</v>
      </c>
      <c r="K17" s="97">
        <v>80</v>
      </c>
      <c r="L17" s="97">
        <v>80</v>
      </c>
      <c r="M17" s="113">
        <f>+K17</f>
        <v>80</v>
      </c>
      <c r="N17" s="114">
        <f>+E17</f>
        <v>80</v>
      </c>
      <c r="O17" s="114">
        <f>+N17</f>
        <v>80</v>
      </c>
    </row>
    <row r="18" spans="1:15" ht="15.75">
      <c r="A18" s="80"/>
      <c r="B18" s="81"/>
      <c r="C18" s="100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94"/>
      <c r="O18" s="94"/>
    </row>
    <row r="19" spans="1:15" ht="15.75">
      <c r="A19" s="80" t="s">
        <v>208</v>
      </c>
      <c r="B19" s="81"/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59"/>
      <c r="O19" s="59"/>
    </row>
    <row r="20" spans="1:15" ht="15.75">
      <c r="A20" s="80" t="s">
        <v>193</v>
      </c>
      <c r="B20" s="81"/>
      <c r="C20" s="107" t="s">
        <v>254</v>
      </c>
      <c r="D20" s="107" t="s">
        <v>254</v>
      </c>
      <c r="E20" s="107" t="s">
        <v>254</v>
      </c>
      <c r="F20" s="107" t="s">
        <v>254</v>
      </c>
      <c r="G20" s="107" t="s">
        <v>254</v>
      </c>
      <c r="H20" s="107" t="s">
        <v>254</v>
      </c>
      <c r="I20" s="107" t="s">
        <v>254</v>
      </c>
      <c r="J20" s="107" t="s">
        <v>254</v>
      </c>
      <c r="K20" s="107" t="s">
        <v>254</v>
      </c>
      <c r="L20" s="107" t="s">
        <v>254</v>
      </c>
      <c r="M20" s="107" t="s">
        <v>254</v>
      </c>
      <c r="N20" s="98" t="s">
        <v>254</v>
      </c>
      <c r="O20" s="98" t="s">
        <v>254</v>
      </c>
    </row>
    <row r="21" spans="1:15" ht="15.75">
      <c r="A21" s="80" t="s">
        <v>197</v>
      </c>
      <c r="B21" s="81" t="s">
        <v>198</v>
      </c>
      <c r="C21" s="97">
        <f>'Trens Atuais'!C21</f>
        <v>80</v>
      </c>
      <c r="D21" s="97">
        <f>'Trens Atuais'!D21</f>
        <v>80</v>
      </c>
      <c r="E21" s="97">
        <f>'Trens Atuais'!E21</f>
        <v>80</v>
      </c>
      <c r="F21" s="97">
        <f>'Trens Atuais'!F21</f>
        <v>80</v>
      </c>
      <c r="G21" s="97">
        <f>'Trens Atuais'!G21</f>
        <v>80</v>
      </c>
      <c r="H21" s="97">
        <f>'Trens Atuais'!H21</f>
        <v>80</v>
      </c>
      <c r="I21" s="97">
        <f>'Trens Atuais'!I21</f>
        <v>80</v>
      </c>
      <c r="J21" s="97">
        <f>'Trens Atuais'!J21</f>
        <v>80</v>
      </c>
      <c r="K21" s="97">
        <f>'Trens Atuais'!K21</f>
        <v>80</v>
      </c>
      <c r="L21" s="97">
        <f>'Trens Atuais'!L21</f>
        <v>80</v>
      </c>
      <c r="M21" s="97">
        <f>'Trens Atuais'!M21</f>
        <v>80</v>
      </c>
      <c r="N21" s="97">
        <f>'Trens Atuais'!N21</f>
        <v>80</v>
      </c>
      <c r="O21" s="97">
        <f>'Trens Atuais'!O21</f>
        <v>80</v>
      </c>
    </row>
    <row r="22" spans="1:15" ht="15.75">
      <c r="A22" s="80" t="s">
        <v>255</v>
      </c>
      <c r="B22" s="81" t="s">
        <v>198</v>
      </c>
      <c r="C22" s="97">
        <f>+C24+C25</f>
        <v>78.5</v>
      </c>
      <c r="D22" s="97">
        <f>+D24+D25</f>
        <v>78.5</v>
      </c>
      <c r="E22" s="97">
        <f t="shared" ref="E22:O22" si="0">+E24+E25</f>
        <v>78.5</v>
      </c>
      <c r="F22" s="97">
        <f t="shared" si="0"/>
        <v>78.5</v>
      </c>
      <c r="G22" s="97">
        <f t="shared" si="0"/>
        <v>78.5</v>
      </c>
      <c r="H22" s="97">
        <f>+H24+H25</f>
        <v>78.5</v>
      </c>
      <c r="I22" s="97">
        <f t="shared" si="0"/>
        <v>78.5</v>
      </c>
      <c r="J22" s="97">
        <f>+J24+J25</f>
        <v>78.5</v>
      </c>
      <c r="K22" s="97">
        <f>+K24+K25</f>
        <v>78.5</v>
      </c>
      <c r="L22" s="97">
        <f>+L24+L25</f>
        <v>78.5</v>
      </c>
      <c r="M22" s="97">
        <f t="shared" si="0"/>
        <v>78.5</v>
      </c>
      <c r="N22" s="95">
        <f t="shared" si="0"/>
        <v>78.5</v>
      </c>
      <c r="O22" s="95">
        <f t="shared" si="0"/>
        <v>78.5</v>
      </c>
    </row>
    <row r="23" spans="1:15" ht="15.75">
      <c r="A23" s="80" t="s">
        <v>256</v>
      </c>
      <c r="B23" s="81" t="s">
        <v>198</v>
      </c>
      <c r="C23" s="97">
        <f t="shared" ref="C23:O23" si="1">+C21-C25</f>
        <v>60</v>
      </c>
      <c r="D23" s="97">
        <f t="shared" si="1"/>
        <v>60</v>
      </c>
      <c r="E23" s="97">
        <f t="shared" si="1"/>
        <v>60</v>
      </c>
      <c r="F23" s="97">
        <f t="shared" si="1"/>
        <v>60</v>
      </c>
      <c r="G23" s="97">
        <f t="shared" si="1"/>
        <v>60</v>
      </c>
      <c r="H23" s="97">
        <f>+H21-H25</f>
        <v>60</v>
      </c>
      <c r="I23" s="97">
        <f t="shared" si="1"/>
        <v>60</v>
      </c>
      <c r="J23" s="97">
        <f>+J21-J25</f>
        <v>60</v>
      </c>
      <c r="K23" s="97">
        <f t="shared" si="1"/>
        <v>60</v>
      </c>
      <c r="L23" s="97">
        <f>+L21-L25</f>
        <v>60</v>
      </c>
      <c r="M23" s="113">
        <f t="shared" si="1"/>
        <v>60</v>
      </c>
      <c r="N23" s="113">
        <f t="shared" si="1"/>
        <v>60</v>
      </c>
      <c r="O23" s="113">
        <f t="shared" si="1"/>
        <v>60</v>
      </c>
    </row>
    <row r="24" spans="1:15" ht="15.75">
      <c r="A24" s="80" t="s">
        <v>257</v>
      </c>
      <c r="B24" s="81" t="s">
        <v>198</v>
      </c>
      <c r="C24" s="97">
        <f>+C37</f>
        <v>58.5</v>
      </c>
      <c r="D24" s="97">
        <f t="shared" ref="D24:O24" si="2">+D37</f>
        <v>58.5</v>
      </c>
      <c r="E24" s="97">
        <f t="shared" si="2"/>
        <v>58.5</v>
      </c>
      <c r="F24" s="97">
        <f t="shared" si="2"/>
        <v>58.5</v>
      </c>
      <c r="G24" s="97">
        <f t="shared" si="2"/>
        <v>58.5</v>
      </c>
      <c r="H24" s="97">
        <f t="shared" si="2"/>
        <v>58.5</v>
      </c>
      <c r="I24" s="97">
        <f t="shared" si="2"/>
        <v>58.5</v>
      </c>
      <c r="J24" s="97">
        <f>+J37</f>
        <v>58.5</v>
      </c>
      <c r="K24" s="97">
        <f t="shared" si="2"/>
        <v>58.5</v>
      </c>
      <c r="L24" s="97">
        <f>+L37</f>
        <v>58.5</v>
      </c>
      <c r="M24" s="97">
        <f t="shared" si="2"/>
        <v>58.5</v>
      </c>
      <c r="N24" s="97">
        <f t="shared" si="2"/>
        <v>58.5</v>
      </c>
      <c r="O24" s="97">
        <f t="shared" si="2"/>
        <v>58.5</v>
      </c>
    </row>
    <row r="25" spans="1:15" ht="15.75">
      <c r="A25" s="80" t="s">
        <v>258</v>
      </c>
      <c r="B25" s="81" t="s">
        <v>198</v>
      </c>
      <c r="C25" s="97">
        <f>'Trens Atuais'!C25</f>
        <v>20</v>
      </c>
      <c r="D25" s="97">
        <f>'Trens Atuais'!D25</f>
        <v>20</v>
      </c>
      <c r="E25" s="97">
        <f>'Trens Atuais'!E25</f>
        <v>20</v>
      </c>
      <c r="F25" s="97">
        <f>'Trens Atuais'!F25</f>
        <v>20</v>
      </c>
      <c r="G25" s="97">
        <f>'Trens Atuais'!G25</f>
        <v>20</v>
      </c>
      <c r="H25" s="97">
        <f>'Trens Atuais'!H25</f>
        <v>20</v>
      </c>
      <c r="I25" s="97">
        <f>'Trens Atuais'!I25</f>
        <v>20</v>
      </c>
      <c r="J25" s="97">
        <f>'Trens Atuais'!J25</f>
        <v>20</v>
      </c>
      <c r="K25" s="97">
        <f>'Trens Atuais'!K25</f>
        <v>20</v>
      </c>
      <c r="L25" s="97">
        <f>'Trens Atuais'!L25</f>
        <v>20</v>
      </c>
      <c r="M25" s="97">
        <f>'Trens Atuais'!M25</f>
        <v>20</v>
      </c>
      <c r="N25" s="97">
        <f>'Trens Atuais'!N25</f>
        <v>20</v>
      </c>
      <c r="O25" s="97">
        <f>'Trens Atuais'!O25</f>
        <v>20</v>
      </c>
    </row>
    <row r="26" spans="1:15" ht="15.75">
      <c r="A26" s="80" t="s">
        <v>200</v>
      </c>
      <c r="B26" s="81" t="s">
        <v>201</v>
      </c>
      <c r="C26" s="100">
        <v>4</v>
      </c>
      <c r="D26" s="100">
        <f>+C26</f>
        <v>4</v>
      </c>
      <c r="E26" s="100">
        <f>+D26</f>
        <v>4</v>
      </c>
      <c r="F26" s="100">
        <f>+E26</f>
        <v>4</v>
      </c>
      <c r="G26" s="100">
        <f>+E26</f>
        <v>4</v>
      </c>
      <c r="H26" s="100">
        <f>+F26</f>
        <v>4</v>
      </c>
      <c r="I26" s="100">
        <f>+G26</f>
        <v>4</v>
      </c>
      <c r="J26" s="100">
        <f>+H26</f>
        <v>4</v>
      </c>
      <c r="K26" s="100">
        <v>4</v>
      </c>
      <c r="L26" s="100">
        <v>4</v>
      </c>
      <c r="M26" s="100">
        <f>+K26</f>
        <v>4</v>
      </c>
      <c r="N26" s="59">
        <f>+E26</f>
        <v>4</v>
      </c>
      <c r="O26" s="59">
        <f>+E26</f>
        <v>4</v>
      </c>
    </row>
    <row r="27" spans="1:15" ht="15.75">
      <c r="A27" s="80" t="s">
        <v>212</v>
      </c>
      <c r="B27" s="81" t="s">
        <v>40</v>
      </c>
      <c r="C27" s="97">
        <v>16</v>
      </c>
      <c r="D27" s="97">
        <v>16</v>
      </c>
      <c r="E27" s="97">
        <v>16</v>
      </c>
      <c r="F27" s="97">
        <v>16</v>
      </c>
      <c r="G27" s="97">
        <v>16</v>
      </c>
      <c r="H27" s="97">
        <v>16</v>
      </c>
      <c r="I27" s="97">
        <v>16</v>
      </c>
      <c r="J27" s="97">
        <v>16</v>
      </c>
      <c r="K27" s="97">
        <v>16</v>
      </c>
      <c r="L27" s="97">
        <v>16</v>
      </c>
      <c r="M27" s="113">
        <v>16</v>
      </c>
      <c r="N27" s="113">
        <v>16</v>
      </c>
      <c r="O27" s="113">
        <v>16</v>
      </c>
    </row>
    <row r="28" spans="1:15" ht="15.75">
      <c r="A28" s="80" t="s">
        <v>199</v>
      </c>
      <c r="B28" s="81" t="s">
        <v>92</v>
      </c>
      <c r="C28" s="97">
        <v>90</v>
      </c>
      <c r="D28" s="97">
        <f>+C28</f>
        <v>90</v>
      </c>
      <c r="E28" s="97">
        <f>+D28</f>
        <v>90</v>
      </c>
      <c r="F28" s="97">
        <f>+E28</f>
        <v>90</v>
      </c>
      <c r="G28" s="97">
        <f>+E28</f>
        <v>90</v>
      </c>
      <c r="H28" s="97">
        <f>+F28</f>
        <v>90</v>
      </c>
      <c r="I28" s="97">
        <f>+G28</f>
        <v>90</v>
      </c>
      <c r="J28" s="97">
        <f>+H28</f>
        <v>90</v>
      </c>
      <c r="K28" s="97">
        <v>90</v>
      </c>
      <c r="L28" s="97">
        <v>90</v>
      </c>
      <c r="M28" s="97">
        <f>+K28</f>
        <v>90</v>
      </c>
      <c r="N28" s="95">
        <f>+E28</f>
        <v>90</v>
      </c>
      <c r="O28" s="95">
        <f>+E28</f>
        <v>90</v>
      </c>
    </row>
    <row r="30" spans="1:15" ht="15.75">
      <c r="A30" s="80" t="s">
        <v>259</v>
      </c>
      <c r="B30" s="83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</row>
    <row r="31" spans="1:15" ht="15.75">
      <c r="A31" s="80" t="s">
        <v>214</v>
      </c>
      <c r="B31" s="81" t="s">
        <v>215</v>
      </c>
      <c r="C31" s="59">
        <v>3</v>
      </c>
      <c r="D31" s="59">
        <f>+'[4]Frota Trem Atual'!D31</f>
        <v>3</v>
      </c>
      <c r="E31" s="59">
        <v>4</v>
      </c>
      <c r="F31" s="100">
        <v>2</v>
      </c>
      <c r="G31" s="59">
        <v>4</v>
      </c>
      <c r="H31" s="59">
        <v>4</v>
      </c>
      <c r="I31" s="59">
        <v>3</v>
      </c>
      <c r="J31" s="59">
        <v>3</v>
      </c>
      <c r="K31" s="100">
        <v>3</v>
      </c>
      <c r="L31" s="100">
        <v>3</v>
      </c>
      <c r="M31" s="112">
        <v>2</v>
      </c>
      <c r="N31" s="112">
        <v>3</v>
      </c>
      <c r="O31" s="112">
        <v>4</v>
      </c>
    </row>
    <row r="32" spans="1:15" ht="15.75">
      <c r="A32" s="80" t="s">
        <v>31</v>
      </c>
      <c r="B32" s="81" t="s">
        <v>216</v>
      </c>
      <c r="C32" s="59">
        <v>90</v>
      </c>
      <c r="D32" s="59">
        <v>90</v>
      </c>
      <c r="E32" s="59">
        <v>90</v>
      </c>
      <c r="F32" s="100">
        <v>42</v>
      </c>
      <c r="G32" s="59">
        <v>90</v>
      </c>
      <c r="H32" s="59">
        <v>90</v>
      </c>
      <c r="I32" s="59">
        <v>90</v>
      </c>
      <c r="J32" s="59">
        <v>90</v>
      </c>
      <c r="K32" s="100">
        <v>55</v>
      </c>
      <c r="L32" s="100">
        <v>55</v>
      </c>
      <c r="M32" s="112">
        <v>12</v>
      </c>
      <c r="N32" s="112">
        <v>24</v>
      </c>
      <c r="O32" s="112">
        <v>36</v>
      </c>
    </row>
    <row r="33" spans="1:15" ht="15.75">
      <c r="A33" s="80" t="s">
        <v>33</v>
      </c>
      <c r="B33" s="81" t="s">
        <v>34</v>
      </c>
      <c r="C33" s="93">
        <f>+C32*C24</f>
        <v>5265</v>
      </c>
      <c r="D33" s="93">
        <f t="shared" ref="D33:O33" si="3">+D32*D24</f>
        <v>5265</v>
      </c>
      <c r="E33" s="93">
        <f t="shared" si="3"/>
        <v>5265</v>
      </c>
      <c r="F33" s="82">
        <f>+F32*F24</f>
        <v>2457</v>
      </c>
      <c r="G33" s="93">
        <f t="shared" si="3"/>
        <v>5265</v>
      </c>
      <c r="H33" s="93">
        <f>+H32*H24</f>
        <v>5265</v>
      </c>
      <c r="I33" s="93">
        <f t="shared" si="3"/>
        <v>5265</v>
      </c>
      <c r="J33" s="93">
        <f>+J32*J24</f>
        <v>5265</v>
      </c>
      <c r="K33" s="82">
        <f>+K32*K24</f>
        <v>3217.5</v>
      </c>
      <c r="L33" s="82">
        <f>+L32*L24</f>
        <v>3217.5</v>
      </c>
      <c r="M33" s="82">
        <f t="shared" si="3"/>
        <v>702</v>
      </c>
      <c r="N33" s="82">
        <f t="shared" si="3"/>
        <v>1404</v>
      </c>
      <c r="O33" s="82">
        <f t="shared" si="3"/>
        <v>2106</v>
      </c>
    </row>
    <row r="34" spans="1:15" ht="15.75">
      <c r="A34" s="80" t="s">
        <v>197</v>
      </c>
      <c r="B34" s="81" t="s">
        <v>36</v>
      </c>
      <c r="C34" s="93">
        <f>+C22*C32</f>
        <v>7065</v>
      </c>
      <c r="D34" s="93">
        <f t="shared" ref="D34:O34" si="4">+D22*D32</f>
        <v>7065</v>
      </c>
      <c r="E34" s="93">
        <f t="shared" si="4"/>
        <v>7065</v>
      </c>
      <c r="F34" s="93">
        <f t="shared" si="4"/>
        <v>3297</v>
      </c>
      <c r="G34" s="93">
        <f t="shared" si="4"/>
        <v>7065</v>
      </c>
      <c r="H34" s="93">
        <f>+H22*H32</f>
        <v>7065</v>
      </c>
      <c r="I34" s="93">
        <f t="shared" si="4"/>
        <v>7065</v>
      </c>
      <c r="J34" s="93">
        <f>+J22*J32</f>
        <v>7065</v>
      </c>
      <c r="K34" s="82">
        <f t="shared" si="4"/>
        <v>4317.5</v>
      </c>
      <c r="L34" s="82">
        <f>+L22*L32</f>
        <v>4317.5</v>
      </c>
      <c r="M34" s="93">
        <f t="shared" si="4"/>
        <v>942</v>
      </c>
      <c r="N34" s="93">
        <f t="shared" si="4"/>
        <v>1884</v>
      </c>
      <c r="O34" s="93">
        <f t="shared" si="4"/>
        <v>2826</v>
      </c>
    </row>
    <row r="35" spans="1:15" ht="15.75">
      <c r="A35" s="80" t="s">
        <v>39</v>
      </c>
      <c r="B35" s="81" t="s">
        <v>40</v>
      </c>
      <c r="C35" s="103">
        <f>C32*C27+C31*C16</f>
        <v>1515</v>
      </c>
      <c r="D35" s="103">
        <f>D32*D27+D31*D16</f>
        <v>1515</v>
      </c>
      <c r="E35" s="103">
        <f t="shared" ref="E35:O35" si="5">E32*E27+E31*E16</f>
        <v>1540</v>
      </c>
      <c r="F35" s="115">
        <f>F32*F27+F31*F16</f>
        <v>722</v>
      </c>
      <c r="G35" s="103">
        <f t="shared" si="5"/>
        <v>1540</v>
      </c>
      <c r="H35" s="103">
        <f>H32*H27+H31*H16</f>
        <v>1540</v>
      </c>
      <c r="I35" s="103">
        <f t="shared" si="5"/>
        <v>1515</v>
      </c>
      <c r="J35" s="103">
        <f>J32*J27+J31*J16</f>
        <v>1515</v>
      </c>
      <c r="K35" s="115">
        <f>K32*K27+K31*K16</f>
        <v>955</v>
      </c>
      <c r="L35" s="115">
        <f>L32*L27+L31*L16</f>
        <v>955</v>
      </c>
      <c r="M35" s="115">
        <f t="shared" si="5"/>
        <v>232</v>
      </c>
      <c r="N35" s="115">
        <f t="shared" si="5"/>
        <v>444</v>
      </c>
      <c r="O35" s="115">
        <f t="shared" si="5"/>
        <v>656</v>
      </c>
    </row>
    <row r="36" spans="1:15">
      <c r="K36" s="116"/>
      <c r="L36" s="116"/>
      <c r="M36" s="52">
        <f>+[4]Frotas!M153</f>
        <v>443.34</v>
      </c>
      <c r="N36" s="52">
        <f>+[4]Frotas!N153</f>
        <v>655.34</v>
      </c>
      <c r="O36" s="52">
        <f>+[4]Frotas!O153</f>
        <v>867.34</v>
      </c>
    </row>
    <row r="37" spans="1:15" ht="15.75">
      <c r="B37" s="117" t="s">
        <v>260</v>
      </c>
      <c r="C37" s="99">
        <v>58.5</v>
      </c>
      <c r="D37" s="99">
        <v>58.5</v>
      </c>
      <c r="E37" s="99">
        <v>58.5</v>
      </c>
      <c r="F37" s="99">
        <v>58.5</v>
      </c>
      <c r="G37" s="99">
        <v>58.5</v>
      </c>
      <c r="H37" s="99">
        <v>58.5</v>
      </c>
      <c r="I37" s="99">
        <v>58.5</v>
      </c>
      <c r="J37" s="99">
        <v>58.5</v>
      </c>
      <c r="K37" s="99">
        <v>58.5</v>
      </c>
      <c r="L37" s="99">
        <v>58.5</v>
      </c>
      <c r="M37" s="99">
        <v>58.5</v>
      </c>
      <c r="N37" s="99">
        <v>58.5</v>
      </c>
      <c r="O37" s="99">
        <v>58.5</v>
      </c>
    </row>
    <row r="38" spans="1:15" ht="15.75">
      <c r="B38" s="81" t="s">
        <v>250</v>
      </c>
      <c r="C38" s="93">
        <f>+C32*C25*2+C31*C14*2+C33</f>
        <v>9765</v>
      </c>
      <c r="D38" s="93">
        <f t="shared" ref="D38:O38" si="6">+D32*D25*2+D31*D14*2+D33</f>
        <v>9765</v>
      </c>
      <c r="E38" s="93">
        <f t="shared" si="6"/>
        <v>10065</v>
      </c>
      <c r="F38" s="93">
        <f>+F32*F25*2+F31*F14*2+F33</f>
        <v>4737</v>
      </c>
      <c r="G38" s="93">
        <f t="shared" si="6"/>
        <v>10065</v>
      </c>
      <c r="H38" s="93">
        <f>+H32*H25*2+H31*H14*2+H33</f>
        <v>10065</v>
      </c>
      <c r="I38" s="93">
        <f t="shared" si="6"/>
        <v>9765</v>
      </c>
      <c r="J38" s="93">
        <f>+J32*J25*2+J31*J14*2+J33</f>
        <v>9765</v>
      </c>
      <c r="K38" s="93">
        <f t="shared" si="6"/>
        <v>6137.5</v>
      </c>
      <c r="L38" s="93">
        <f>+L32*L25*2+L31*L14*2+L33</f>
        <v>6137.5</v>
      </c>
      <c r="M38" s="93">
        <f t="shared" si="6"/>
        <v>1479.6</v>
      </c>
      <c r="N38" s="93">
        <f t="shared" si="6"/>
        <v>2810.4</v>
      </c>
      <c r="O38" s="93">
        <f t="shared" si="6"/>
        <v>4141.2</v>
      </c>
    </row>
    <row r="39" spans="1:15" ht="15.75">
      <c r="B39" s="81" t="s">
        <v>261</v>
      </c>
      <c r="C39" s="96">
        <f>+C38/C33</f>
        <v>1.8547008547008548</v>
      </c>
      <c r="D39" s="96">
        <f t="shared" ref="D39:O39" si="7">+D38/D33</f>
        <v>1.8547008547008548</v>
      </c>
      <c r="E39" s="96">
        <f t="shared" si="7"/>
        <v>1.9116809116809117</v>
      </c>
      <c r="F39" s="96">
        <f>+F38/F33</f>
        <v>1.927960927960928</v>
      </c>
      <c r="G39" s="96">
        <f t="shared" si="7"/>
        <v>1.9116809116809117</v>
      </c>
      <c r="H39" s="96">
        <f>+H38/H33</f>
        <v>1.9116809116809117</v>
      </c>
      <c r="I39" s="96">
        <f t="shared" si="7"/>
        <v>1.8547008547008548</v>
      </c>
      <c r="J39" s="96">
        <f>+J38/J33</f>
        <v>1.8547008547008548</v>
      </c>
      <c r="K39" s="96">
        <f t="shared" si="7"/>
        <v>1.9075369075369075</v>
      </c>
      <c r="L39" s="96">
        <f>+L38/L33</f>
        <v>1.9075369075369075</v>
      </c>
      <c r="M39" s="96">
        <f t="shared" si="7"/>
        <v>2.1076923076923078</v>
      </c>
      <c r="N39" s="96">
        <f t="shared" si="7"/>
        <v>2.0017094017094017</v>
      </c>
      <c r="O39" s="96">
        <f t="shared" si="7"/>
        <v>1.9663817663817662</v>
      </c>
    </row>
    <row r="41" spans="1:15" ht="15.75">
      <c r="A41" s="79" t="s">
        <v>262</v>
      </c>
      <c r="B41" s="118"/>
      <c r="C41" s="119">
        <f>+C32*C21+C31*C14</f>
        <v>7650</v>
      </c>
      <c r="D41" s="119">
        <f t="shared" ref="D41:O41" si="8">+D32*D21+D31*D14</f>
        <v>7650</v>
      </c>
      <c r="E41" s="119">
        <f t="shared" si="8"/>
        <v>7800</v>
      </c>
      <c r="F41" s="119">
        <f t="shared" si="8"/>
        <v>3660</v>
      </c>
      <c r="G41" s="119">
        <f t="shared" si="8"/>
        <v>7800</v>
      </c>
      <c r="H41" s="119">
        <f>+H32*H21+H31*H14</f>
        <v>7800</v>
      </c>
      <c r="I41" s="119">
        <f t="shared" si="8"/>
        <v>7650</v>
      </c>
      <c r="J41" s="119">
        <f>+J32*J21+J31*J14</f>
        <v>7650</v>
      </c>
      <c r="K41" s="119">
        <f t="shared" si="8"/>
        <v>4760</v>
      </c>
      <c r="L41" s="119">
        <f>+L32*L21+L31*L14</f>
        <v>4760</v>
      </c>
      <c r="M41" s="119">
        <f t="shared" si="8"/>
        <v>1108.8</v>
      </c>
      <c r="N41" s="119">
        <f t="shared" si="8"/>
        <v>2143.1999999999998</v>
      </c>
      <c r="O41" s="119">
        <f t="shared" si="8"/>
        <v>3177.6</v>
      </c>
    </row>
    <row r="42" spans="1:15" ht="15.75">
      <c r="A42" s="177" t="s">
        <v>263</v>
      </c>
      <c r="B42" s="120">
        <v>0.2</v>
      </c>
      <c r="C42" s="121">
        <f>+C31*C14*$B$42*1000</f>
        <v>90000</v>
      </c>
      <c r="D42" s="121">
        <f t="shared" ref="D42:O42" si="9">+D31*D14*$B$42*1000</f>
        <v>90000</v>
      </c>
      <c r="E42" s="121">
        <f t="shared" si="9"/>
        <v>120000</v>
      </c>
      <c r="F42" s="121">
        <f>+F31*F14*$B$42*1000</f>
        <v>60000</v>
      </c>
      <c r="G42" s="121">
        <f t="shared" si="9"/>
        <v>120000</v>
      </c>
      <c r="H42" s="121">
        <f>+H31*H14*$B$42*1000</f>
        <v>120000</v>
      </c>
      <c r="I42" s="121">
        <f t="shared" si="9"/>
        <v>90000</v>
      </c>
      <c r="J42" s="121">
        <f>+J31*J14*$B$42*1000</f>
        <v>90000</v>
      </c>
      <c r="K42" s="121">
        <f t="shared" si="9"/>
        <v>72000</v>
      </c>
      <c r="L42" s="121">
        <f>+L31*L14*$B$42*1000</f>
        <v>72000</v>
      </c>
      <c r="M42" s="121">
        <f t="shared" si="9"/>
        <v>29760.000000000004</v>
      </c>
      <c r="N42" s="121">
        <f t="shared" si="9"/>
        <v>44640.000000000007</v>
      </c>
      <c r="O42" s="121">
        <f t="shared" si="9"/>
        <v>59520.000000000007</v>
      </c>
    </row>
    <row r="43" spans="1:15" ht="15.75">
      <c r="A43" s="178"/>
      <c r="B43" s="122">
        <v>0.22</v>
      </c>
      <c r="C43" s="108">
        <f>+C31*C14*$B$43*1000</f>
        <v>99000</v>
      </c>
      <c r="D43" s="108">
        <f t="shared" ref="D43:O43" si="10">+D31*D14*$B$43*1000</f>
        <v>99000</v>
      </c>
      <c r="E43" s="108">
        <f t="shared" si="10"/>
        <v>132000</v>
      </c>
      <c r="F43" s="108">
        <f>+F31*F14*$B$43*1000</f>
        <v>66000</v>
      </c>
      <c r="G43" s="108">
        <f t="shared" si="10"/>
        <v>132000</v>
      </c>
      <c r="H43" s="108">
        <f>+H31*H14*$B$43*1000</f>
        <v>132000</v>
      </c>
      <c r="I43" s="108">
        <f t="shared" si="10"/>
        <v>99000</v>
      </c>
      <c r="J43" s="108">
        <f>+J31*J14*$B$43*1000</f>
        <v>99000</v>
      </c>
      <c r="K43" s="108">
        <f t="shared" si="10"/>
        <v>79200</v>
      </c>
      <c r="L43" s="108">
        <f>+L31*L14*$B$43*1000</f>
        <v>79200</v>
      </c>
      <c r="M43" s="108">
        <f t="shared" si="10"/>
        <v>32736.000000000004</v>
      </c>
      <c r="N43" s="108">
        <f t="shared" si="10"/>
        <v>49104.000000000007</v>
      </c>
      <c r="O43" s="108">
        <f t="shared" si="10"/>
        <v>65472.000000000007</v>
      </c>
    </row>
    <row r="44" spans="1:15" ht="15.75">
      <c r="A44" s="179"/>
      <c r="B44" s="123">
        <v>0.25</v>
      </c>
      <c r="C44" s="124">
        <f>+C31*C14*$B$44*1000</f>
        <v>112500</v>
      </c>
      <c r="D44" s="124">
        <f t="shared" ref="D44:O44" si="11">+D31*D14*$B$44*1000</f>
        <v>112500</v>
      </c>
      <c r="E44" s="124">
        <f t="shared" si="11"/>
        <v>150000</v>
      </c>
      <c r="F44" s="124">
        <f>+F31*F14*$B$44*1000</f>
        <v>75000</v>
      </c>
      <c r="G44" s="124">
        <f t="shared" si="11"/>
        <v>150000</v>
      </c>
      <c r="H44" s="124">
        <f>+H31*H14*$B$44*1000</f>
        <v>150000</v>
      </c>
      <c r="I44" s="124">
        <f t="shared" si="11"/>
        <v>112500</v>
      </c>
      <c r="J44" s="124">
        <f>+J31*J14*$B$44*1000</f>
        <v>112500</v>
      </c>
      <c r="K44" s="124">
        <f t="shared" si="11"/>
        <v>90000</v>
      </c>
      <c r="L44" s="124">
        <f>+L31*L14*$B$44*1000</f>
        <v>90000</v>
      </c>
      <c r="M44" s="124">
        <f t="shared" si="11"/>
        <v>37200</v>
      </c>
      <c r="N44" s="124">
        <f t="shared" si="11"/>
        <v>55800.000000000007</v>
      </c>
      <c r="O44" s="124">
        <f t="shared" si="11"/>
        <v>74400</v>
      </c>
    </row>
    <row r="45" spans="1:15" ht="15.75">
      <c r="A45" s="177" t="s">
        <v>264</v>
      </c>
      <c r="B45" s="120">
        <v>0.2</v>
      </c>
      <c r="C45" s="125">
        <f>+C42/C41</f>
        <v>11.764705882352942</v>
      </c>
      <c r="D45" s="125">
        <f t="shared" ref="D45:O45" si="12">+D42/D41</f>
        <v>11.764705882352942</v>
      </c>
      <c r="E45" s="125">
        <f t="shared" si="12"/>
        <v>15.384615384615385</v>
      </c>
      <c r="F45" s="125">
        <f>+F42/F41</f>
        <v>16.393442622950818</v>
      </c>
      <c r="G45" s="125">
        <f t="shared" si="12"/>
        <v>15.384615384615385</v>
      </c>
      <c r="H45" s="125">
        <f>+H42/H41</f>
        <v>15.384615384615385</v>
      </c>
      <c r="I45" s="125">
        <f t="shared" si="12"/>
        <v>11.764705882352942</v>
      </c>
      <c r="J45" s="125">
        <f>+J42/J41</f>
        <v>11.764705882352942</v>
      </c>
      <c r="K45" s="125">
        <f t="shared" si="12"/>
        <v>15.126050420168067</v>
      </c>
      <c r="L45" s="125">
        <f>+L42/L41</f>
        <v>15.126050420168067</v>
      </c>
      <c r="M45" s="125">
        <f t="shared" si="12"/>
        <v>26.839826839826845</v>
      </c>
      <c r="N45" s="125">
        <f t="shared" si="12"/>
        <v>20.828667413213893</v>
      </c>
      <c r="O45" s="125">
        <f t="shared" si="12"/>
        <v>18.731117824773417</v>
      </c>
    </row>
    <row r="46" spans="1:15" ht="15.75">
      <c r="A46" s="178"/>
      <c r="B46" s="122">
        <v>0.22</v>
      </c>
      <c r="C46" s="126">
        <f>+C43/C41</f>
        <v>12.941176470588236</v>
      </c>
      <c r="D46" s="126">
        <f t="shared" ref="D46:O46" si="13">+D43/D41</f>
        <v>12.941176470588236</v>
      </c>
      <c r="E46" s="126">
        <f t="shared" si="13"/>
        <v>16.923076923076923</v>
      </c>
      <c r="F46" s="126">
        <f>+F43/F41</f>
        <v>18.032786885245901</v>
      </c>
      <c r="G46" s="126">
        <f t="shared" si="13"/>
        <v>16.923076923076923</v>
      </c>
      <c r="H46" s="126">
        <f>+H43/H41</f>
        <v>16.923076923076923</v>
      </c>
      <c r="I46" s="126">
        <f t="shared" si="13"/>
        <v>12.941176470588236</v>
      </c>
      <c r="J46" s="126">
        <f>+J43/J41</f>
        <v>12.941176470588236</v>
      </c>
      <c r="K46" s="126">
        <f t="shared" si="13"/>
        <v>16.638655462184875</v>
      </c>
      <c r="L46" s="126">
        <f>+L43/L41</f>
        <v>16.638655462184875</v>
      </c>
      <c r="M46" s="126">
        <f t="shared" si="13"/>
        <v>29.523809523809529</v>
      </c>
      <c r="N46" s="126">
        <f t="shared" si="13"/>
        <v>22.911534154535278</v>
      </c>
      <c r="O46" s="126">
        <f t="shared" si="13"/>
        <v>20.604229607250758</v>
      </c>
    </row>
    <row r="47" spans="1:15" ht="15.75">
      <c r="A47" s="179"/>
      <c r="B47" s="123">
        <v>0.25</v>
      </c>
      <c r="C47" s="127">
        <f>+C44/C41</f>
        <v>14.705882352941176</v>
      </c>
      <c r="D47" s="127">
        <f t="shared" ref="D47:O47" si="14">+D44/D41</f>
        <v>14.705882352941176</v>
      </c>
      <c r="E47" s="127">
        <f t="shared" si="14"/>
        <v>19.23076923076923</v>
      </c>
      <c r="F47" s="127">
        <f>+F44/F41</f>
        <v>20.491803278688526</v>
      </c>
      <c r="G47" s="127">
        <f t="shared" si="14"/>
        <v>19.23076923076923</v>
      </c>
      <c r="H47" s="127">
        <f>+H44/H41</f>
        <v>19.23076923076923</v>
      </c>
      <c r="I47" s="127">
        <f t="shared" si="14"/>
        <v>14.705882352941176</v>
      </c>
      <c r="J47" s="127">
        <f>+J44/J41</f>
        <v>14.705882352941176</v>
      </c>
      <c r="K47" s="127">
        <f t="shared" si="14"/>
        <v>18.907563025210084</v>
      </c>
      <c r="L47" s="127">
        <f>+L44/L41</f>
        <v>18.907563025210084</v>
      </c>
      <c r="M47" s="127">
        <f t="shared" si="14"/>
        <v>33.549783549783548</v>
      </c>
      <c r="N47" s="127">
        <f t="shared" si="14"/>
        <v>26.035834266517362</v>
      </c>
      <c r="O47" s="127">
        <f t="shared" si="14"/>
        <v>23.413897280966768</v>
      </c>
    </row>
    <row r="48" spans="1:15" ht="15.75">
      <c r="A48" s="79" t="s">
        <v>265</v>
      </c>
      <c r="B48" s="78">
        <v>1.25</v>
      </c>
      <c r="C48" s="128">
        <f>+B48</f>
        <v>1.25</v>
      </c>
      <c r="D48" s="128">
        <f>+C48</f>
        <v>1.25</v>
      </c>
      <c r="E48" s="128">
        <f>+D48</f>
        <v>1.25</v>
      </c>
      <c r="F48" s="128">
        <f>+E48</f>
        <v>1.25</v>
      </c>
      <c r="G48" s="128">
        <f t="shared" ref="G48:M48" si="15">+E48</f>
        <v>1.25</v>
      </c>
      <c r="H48" s="128">
        <f t="shared" si="15"/>
        <v>1.25</v>
      </c>
      <c r="I48" s="128">
        <f t="shared" si="15"/>
        <v>1.25</v>
      </c>
      <c r="J48" s="128">
        <f t="shared" si="15"/>
        <v>1.25</v>
      </c>
      <c r="K48" s="128">
        <f t="shared" si="15"/>
        <v>1.25</v>
      </c>
      <c r="L48" s="128">
        <f t="shared" si="15"/>
        <v>1.25</v>
      </c>
      <c r="M48" s="128">
        <f t="shared" si="15"/>
        <v>1.25</v>
      </c>
      <c r="N48" s="128">
        <f>+M48</f>
        <v>1.25</v>
      </c>
      <c r="O48" s="128">
        <f>+N48</f>
        <v>1.25</v>
      </c>
    </row>
    <row r="49" spans="1:15" ht="15.75">
      <c r="A49" s="178" t="s">
        <v>266</v>
      </c>
      <c r="B49" s="122">
        <v>0.2</v>
      </c>
      <c r="C49" s="126">
        <f>+C45-C48</f>
        <v>10.514705882352942</v>
      </c>
      <c r="D49" s="126">
        <f t="shared" ref="D49:O49" si="16">+D45-D48</f>
        <v>10.514705882352942</v>
      </c>
      <c r="E49" s="126">
        <f t="shared" si="16"/>
        <v>14.134615384615385</v>
      </c>
      <c r="F49" s="126">
        <f>+F45-F48</f>
        <v>15.143442622950818</v>
      </c>
      <c r="G49" s="126">
        <f t="shared" si="16"/>
        <v>14.134615384615385</v>
      </c>
      <c r="H49" s="126">
        <f>+H45-H48</f>
        <v>14.134615384615385</v>
      </c>
      <c r="I49" s="126">
        <f t="shared" si="16"/>
        <v>10.514705882352942</v>
      </c>
      <c r="J49" s="126">
        <f>+J45-J48</f>
        <v>10.514705882352942</v>
      </c>
      <c r="K49" s="126">
        <f t="shared" si="16"/>
        <v>13.876050420168067</v>
      </c>
      <c r="L49" s="126">
        <f>+L45-L48</f>
        <v>13.876050420168067</v>
      </c>
      <c r="M49" s="126">
        <f t="shared" si="16"/>
        <v>25.589826839826845</v>
      </c>
      <c r="N49" s="126">
        <f t="shared" si="16"/>
        <v>19.578667413213893</v>
      </c>
      <c r="O49" s="102">
        <f t="shared" si="16"/>
        <v>17.481117824773417</v>
      </c>
    </row>
    <row r="50" spans="1:15" ht="15.75">
      <c r="A50" s="178"/>
      <c r="B50" s="122">
        <v>0.22</v>
      </c>
      <c r="C50" s="126">
        <f>+C46-C48</f>
        <v>11.691176470588236</v>
      </c>
      <c r="D50" s="126">
        <f t="shared" ref="D50:O50" si="17">+D46-D48</f>
        <v>11.691176470588236</v>
      </c>
      <c r="E50" s="126">
        <f t="shared" si="17"/>
        <v>15.673076923076923</v>
      </c>
      <c r="F50" s="126">
        <f>+F46-F48</f>
        <v>16.782786885245901</v>
      </c>
      <c r="G50" s="126">
        <f t="shared" si="17"/>
        <v>15.673076923076923</v>
      </c>
      <c r="H50" s="126">
        <f>+H46-H48</f>
        <v>15.673076923076923</v>
      </c>
      <c r="I50" s="126">
        <f t="shared" si="17"/>
        <v>11.691176470588236</v>
      </c>
      <c r="J50" s="126">
        <f>+J46-J48</f>
        <v>11.691176470588236</v>
      </c>
      <c r="K50" s="126">
        <f t="shared" si="17"/>
        <v>15.388655462184875</v>
      </c>
      <c r="L50" s="126">
        <f>+L46-L48</f>
        <v>15.388655462184875</v>
      </c>
      <c r="M50" s="126">
        <f t="shared" si="17"/>
        <v>28.273809523809529</v>
      </c>
      <c r="N50" s="126">
        <f t="shared" si="17"/>
        <v>21.661534154535278</v>
      </c>
      <c r="O50" s="102">
        <f t="shared" si="17"/>
        <v>19.354229607250758</v>
      </c>
    </row>
    <row r="51" spans="1:15" ht="15.75">
      <c r="A51" s="179"/>
      <c r="B51" s="123">
        <v>0.25</v>
      </c>
      <c r="C51" s="127">
        <f>+C47-C48</f>
        <v>13.455882352941176</v>
      </c>
      <c r="D51" s="127">
        <f t="shared" ref="D51:O51" si="18">+D47-D48</f>
        <v>13.455882352941176</v>
      </c>
      <c r="E51" s="127">
        <f t="shared" si="18"/>
        <v>17.98076923076923</v>
      </c>
      <c r="F51" s="127">
        <f>+F47-F48</f>
        <v>19.241803278688526</v>
      </c>
      <c r="G51" s="127">
        <f t="shared" si="18"/>
        <v>17.98076923076923</v>
      </c>
      <c r="H51" s="127">
        <f>+H47-H48</f>
        <v>17.98076923076923</v>
      </c>
      <c r="I51" s="127">
        <f t="shared" si="18"/>
        <v>13.455882352941176</v>
      </c>
      <c r="J51" s="127">
        <f>+J47-J48</f>
        <v>13.455882352941176</v>
      </c>
      <c r="K51" s="127">
        <f t="shared" si="18"/>
        <v>17.657563025210084</v>
      </c>
      <c r="L51" s="127">
        <f>+L47-L48</f>
        <v>17.657563025210084</v>
      </c>
      <c r="M51" s="127">
        <f t="shared" si="18"/>
        <v>32.299783549783548</v>
      </c>
      <c r="N51" s="127">
        <f t="shared" si="18"/>
        <v>24.785834266517362</v>
      </c>
      <c r="O51" s="102">
        <f t="shared" si="18"/>
        <v>22.163897280966768</v>
      </c>
    </row>
    <row r="52" spans="1:15" ht="15.75">
      <c r="A52" s="177" t="s">
        <v>267</v>
      </c>
      <c r="B52" s="120">
        <v>0.2</v>
      </c>
      <c r="C52" s="129">
        <f>+C49/10</f>
        <v>1.0514705882352942</v>
      </c>
      <c r="D52" s="129">
        <f t="shared" ref="D52:O52" si="19">+D49/10</f>
        <v>1.0514705882352942</v>
      </c>
      <c r="E52" s="129">
        <f t="shared" si="19"/>
        <v>1.4134615384615385</v>
      </c>
      <c r="F52" s="129">
        <f>+F49/10</f>
        <v>1.5143442622950818</v>
      </c>
      <c r="G52" s="129">
        <f t="shared" si="19"/>
        <v>1.4134615384615385</v>
      </c>
      <c r="H52" s="129">
        <f>+H49/10</f>
        <v>1.4134615384615385</v>
      </c>
      <c r="I52" s="129">
        <f t="shared" si="19"/>
        <v>1.0514705882352942</v>
      </c>
      <c r="J52" s="129">
        <f>+J49/10</f>
        <v>1.0514705882352942</v>
      </c>
      <c r="K52" s="129">
        <f t="shared" si="19"/>
        <v>1.3876050420168067</v>
      </c>
      <c r="L52" s="129">
        <f>+L49/10</f>
        <v>1.3876050420168067</v>
      </c>
      <c r="M52" s="129">
        <f t="shared" si="19"/>
        <v>2.5589826839826846</v>
      </c>
      <c r="N52" s="129">
        <f t="shared" si="19"/>
        <v>1.9578667413213893</v>
      </c>
      <c r="O52" s="129">
        <f t="shared" si="19"/>
        <v>1.7481117824773418</v>
      </c>
    </row>
    <row r="53" spans="1:15" ht="15.75">
      <c r="A53" s="178"/>
      <c r="B53" s="122">
        <v>0.22</v>
      </c>
      <c r="C53" s="130">
        <f t="shared" ref="C53:O54" si="20">+C50/10</f>
        <v>1.1691176470588236</v>
      </c>
      <c r="D53" s="130">
        <f t="shared" si="20"/>
        <v>1.1691176470588236</v>
      </c>
      <c r="E53" s="130">
        <f t="shared" si="20"/>
        <v>1.5673076923076923</v>
      </c>
      <c r="F53" s="130">
        <f>+F50/10</f>
        <v>1.6782786885245902</v>
      </c>
      <c r="G53" s="130">
        <f t="shared" si="20"/>
        <v>1.5673076923076923</v>
      </c>
      <c r="H53" s="130">
        <f>+H50/10</f>
        <v>1.5673076923076923</v>
      </c>
      <c r="I53" s="130">
        <f t="shared" si="20"/>
        <v>1.1691176470588236</v>
      </c>
      <c r="J53" s="130">
        <f>+J50/10</f>
        <v>1.1691176470588236</v>
      </c>
      <c r="K53" s="130">
        <f t="shared" si="20"/>
        <v>1.5388655462184875</v>
      </c>
      <c r="L53" s="130">
        <f>+L50/10</f>
        <v>1.5388655462184875</v>
      </c>
      <c r="M53" s="130">
        <f t="shared" si="20"/>
        <v>2.827380952380953</v>
      </c>
      <c r="N53" s="130">
        <f t="shared" si="20"/>
        <v>2.166153415453528</v>
      </c>
      <c r="O53" s="130">
        <f t="shared" si="20"/>
        <v>1.9354229607250759</v>
      </c>
    </row>
    <row r="54" spans="1:15" ht="15.75">
      <c r="A54" s="179"/>
      <c r="B54" s="123">
        <v>0.25</v>
      </c>
      <c r="C54" s="131">
        <f t="shared" si="20"/>
        <v>1.3455882352941175</v>
      </c>
      <c r="D54" s="131">
        <f t="shared" si="20"/>
        <v>1.3455882352941175</v>
      </c>
      <c r="E54" s="131">
        <f t="shared" si="20"/>
        <v>1.7980769230769229</v>
      </c>
      <c r="F54" s="131">
        <f>+F51/10</f>
        <v>1.9241803278688525</v>
      </c>
      <c r="G54" s="131">
        <f t="shared" si="20"/>
        <v>1.7980769230769229</v>
      </c>
      <c r="H54" s="131">
        <f>+H51/10</f>
        <v>1.7980769230769229</v>
      </c>
      <c r="I54" s="131">
        <f t="shared" si="20"/>
        <v>1.3455882352941175</v>
      </c>
      <c r="J54" s="131">
        <f>+J51/10</f>
        <v>1.3455882352941175</v>
      </c>
      <c r="K54" s="131">
        <f t="shared" si="20"/>
        <v>1.7657563025210083</v>
      </c>
      <c r="L54" s="131">
        <f>+L51/10</f>
        <v>1.7657563025210083</v>
      </c>
      <c r="M54" s="131">
        <f t="shared" si="20"/>
        <v>3.2299783549783547</v>
      </c>
      <c r="N54" s="131">
        <f t="shared" si="20"/>
        <v>2.4785834266517361</v>
      </c>
      <c r="O54" s="131">
        <f t="shared" si="20"/>
        <v>2.2163897280966767</v>
      </c>
    </row>
    <row r="56" spans="1:15">
      <c r="F56" s="32">
        <v>1.31</v>
      </c>
    </row>
    <row r="57" spans="1:15">
      <c r="F57" s="32">
        <v>1.46</v>
      </c>
    </row>
    <row r="58" spans="1:15">
      <c r="F58" s="32">
        <v>1.67</v>
      </c>
    </row>
  </sheetData>
  <mergeCells count="15">
    <mergeCell ref="K6:M6"/>
    <mergeCell ref="A42:A44"/>
    <mergeCell ref="A45:A47"/>
    <mergeCell ref="A49:A51"/>
    <mergeCell ref="A52:A54"/>
    <mergeCell ref="A4:A8"/>
    <mergeCell ref="B4:B8"/>
    <mergeCell ref="C4:O4"/>
    <mergeCell ref="C5:G5"/>
    <mergeCell ref="I5:J5"/>
    <mergeCell ref="K5:M5"/>
    <mergeCell ref="N5:O5"/>
    <mergeCell ref="C6:F6"/>
    <mergeCell ref="G6:H6"/>
    <mergeCell ref="I6:J6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9"/>
  <sheetViews>
    <sheetView zoomScale="60" zoomScaleNormal="60" workbookViewId="0">
      <selection activeCell="G112" sqref="G112"/>
    </sheetView>
  </sheetViews>
  <sheetFormatPr defaultRowHeight="15"/>
  <cols>
    <col min="1" max="1" width="78.28515625" style="32" customWidth="1"/>
    <col min="2" max="2" width="18.140625" style="32" customWidth="1"/>
    <col min="3" max="3" width="15.85546875" style="32" customWidth="1"/>
    <col min="4" max="4" width="14.5703125" style="32" customWidth="1"/>
    <col min="5" max="5" width="14.28515625" style="32" customWidth="1"/>
    <col min="6" max="6" width="14.7109375" style="32" customWidth="1"/>
    <col min="7" max="8" width="13.5703125" style="32" customWidth="1"/>
    <col min="9" max="9" width="16" style="32" customWidth="1"/>
    <col min="10" max="10" width="15.140625" style="32" customWidth="1"/>
    <col min="11" max="12" width="13.7109375" style="32" customWidth="1"/>
    <col min="13" max="14" width="14.85546875" style="32" customWidth="1"/>
    <col min="15" max="15" width="14" style="32" customWidth="1"/>
  </cols>
  <sheetData>
    <row r="1" spans="1:19">
      <c r="A1" s="116"/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55"/>
      <c r="Q1" s="155"/>
      <c r="R1" s="155"/>
      <c r="S1" s="155"/>
    </row>
    <row r="2" spans="1:19" ht="15.75">
      <c r="A2" s="100" t="s">
        <v>163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55"/>
      <c r="Q2" s="155"/>
      <c r="R2" s="155"/>
      <c r="S2" s="155"/>
    </row>
    <row r="3" spans="1:19" ht="15.75">
      <c r="A3" s="100" t="s">
        <v>164</v>
      </c>
      <c r="B3" s="11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5"/>
      <c r="Q3" s="155"/>
      <c r="R3" s="155"/>
      <c r="S3" s="155"/>
    </row>
    <row r="4" spans="1:19" ht="15.75">
      <c r="A4" s="180" t="s">
        <v>1</v>
      </c>
      <c r="B4" s="180" t="s">
        <v>2</v>
      </c>
      <c r="C4" s="183" t="s">
        <v>3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55"/>
      <c r="Q4" s="155"/>
      <c r="R4" s="155"/>
      <c r="S4" s="155"/>
    </row>
    <row r="5" spans="1:19" ht="15.75">
      <c r="A5" s="181"/>
      <c r="B5" s="181"/>
      <c r="C5" s="184" t="s">
        <v>4</v>
      </c>
      <c r="D5" s="184"/>
      <c r="E5" s="184"/>
      <c r="F5" s="184"/>
      <c r="G5" s="184"/>
      <c r="H5" s="157"/>
      <c r="I5" s="158" t="s">
        <v>5</v>
      </c>
      <c r="J5" s="158"/>
      <c r="K5" s="184" t="s">
        <v>6</v>
      </c>
      <c r="L5" s="184"/>
      <c r="M5" s="184"/>
      <c r="N5" s="184" t="s">
        <v>7</v>
      </c>
      <c r="O5" s="184"/>
      <c r="P5" s="155"/>
      <c r="Q5" s="155"/>
      <c r="R5" s="155"/>
      <c r="S5" s="155"/>
    </row>
    <row r="6" spans="1:19" ht="15.75">
      <c r="A6" s="181"/>
      <c r="B6" s="181"/>
      <c r="C6" s="185" t="s">
        <v>8</v>
      </c>
      <c r="D6" s="185"/>
      <c r="E6" s="185"/>
      <c r="F6" s="185"/>
      <c r="G6" s="184" t="s">
        <v>9</v>
      </c>
      <c r="H6" s="184"/>
      <c r="I6" s="185" t="s">
        <v>10</v>
      </c>
      <c r="J6" s="185"/>
      <c r="K6" s="185" t="s">
        <v>11</v>
      </c>
      <c r="L6" s="185"/>
      <c r="M6" s="185"/>
      <c r="N6" s="157" t="s">
        <v>12</v>
      </c>
      <c r="O6" s="157" t="s">
        <v>13</v>
      </c>
      <c r="P6" s="155"/>
      <c r="Q6" s="155"/>
      <c r="R6" s="155"/>
      <c r="S6" s="155"/>
    </row>
    <row r="7" spans="1:19" ht="15.75">
      <c r="A7" s="181"/>
      <c r="B7" s="181"/>
      <c r="C7" s="159" t="s">
        <v>14</v>
      </c>
      <c r="D7" s="160" t="str">
        <f>+C8</f>
        <v>Iguaçu</v>
      </c>
      <c r="E7" s="159" t="str">
        <f>+D8</f>
        <v>Desvio Ribas</v>
      </c>
      <c r="F7" s="160" t="s">
        <v>78</v>
      </c>
      <c r="G7" s="160" t="str">
        <f>+E8</f>
        <v>Guarapuava</v>
      </c>
      <c r="H7" s="160" t="str">
        <f>+G8</f>
        <v>Cascavel</v>
      </c>
      <c r="I7" s="159" t="s">
        <v>79</v>
      </c>
      <c r="J7" s="160" t="s">
        <v>15</v>
      </c>
      <c r="K7" s="160" t="str">
        <f>+J8</f>
        <v>Front. Argentina</v>
      </c>
      <c r="L7" s="160" t="str">
        <f>+K8</f>
        <v>J.V. Gonzalez</v>
      </c>
      <c r="M7" s="159" t="str">
        <f>+L8</f>
        <v>Salta</v>
      </c>
      <c r="N7" s="160" t="str">
        <f>+M8</f>
        <v>Socompa</v>
      </c>
      <c r="O7" s="159" t="str">
        <f>+N8</f>
        <v>A Victoria</v>
      </c>
      <c r="P7" s="155"/>
      <c r="Q7" s="155"/>
      <c r="R7" s="155"/>
      <c r="S7" s="155"/>
    </row>
    <row r="8" spans="1:19" ht="16.5" thickBot="1">
      <c r="A8" s="182"/>
      <c r="B8" s="182"/>
      <c r="C8" s="161" t="s">
        <v>80</v>
      </c>
      <c r="D8" s="161" t="s">
        <v>16</v>
      </c>
      <c r="E8" s="161" t="s">
        <v>17</v>
      </c>
      <c r="F8" s="161" t="s">
        <v>81</v>
      </c>
      <c r="G8" s="161" t="s">
        <v>18</v>
      </c>
      <c r="H8" s="161" t="s">
        <v>82</v>
      </c>
      <c r="I8" s="161" t="s">
        <v>19</v>
      </c>
      <c r="J8" s="161" t="s">
        <v>83</v>
      </c>
      <c r="K8" s="161" t="s">
        <v>84</v>
      </c>
      <c r="L8" s="161" t="s">
        <v>20</v>
      </c>
      <c r="M8" s="161" t="s">
        <v>21</v>
      </c>
      <c r="N8" s="161" t="s">
        <v>22</v>
      </c>
      <c r="O8" s="161" t="s">
        <v>23</v>
      </c>
      <c r="P8" s="155"/>
      <c r="Q8" s="155"/>
      <c r="R8" s="155"/>
      <c r="S8" s="155"/>
    </row>
    <row r="9" spans="1:19" ht="15.75">
      <c r="A9" s="100"/>
      <c r="B9" s="116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55"/>
      <c r="Q9" s="155"/>
      <c r="R9" s="155"/>
      <c r="S9" s="155"/>
    </row>
    <row r="10" spans="1:19" ht="15.75">
      <c r="A10" s="91" t="s">
        <v>165</v>
      </c>
      <c r="B10" s="106"/>
      <c r="C10" s="100"/>
      <c r="D10" s="100"/>
      <c r="E10" s="100"/>
      <c r="F10" s="82">
        <f>+Patamares!F10</f>
        <v>1700000</v>
      </c>
      <c r="G10" s="100" t="s">
        <v>166</v>
      </c>
      <c r="H10" s="100"/>
      <c r="I10" s="100"/>
      <c r="J10" s="100"/>
      <c r="K10" s="100"/>
      <c r="L10" s="100"/>
      <c r="M10" s="100"/>
      <c r="N10" s="100"/>
      <c r="O10" s="100"/>
      <c r="P10" s="155"/>
      <c r="Q10" s="155"/>
      <c r="R10" s="155"/>
      <c r="S10" s="155"/>
    </row>
    <row r="11" spans="1:19" ht="15.75">
      <c r="A11" s="91" t="s">
        <v>167</v>
      </c>
      <c r="B11" s="92" t="s">
        <v>134</v>
      </c>
      <c r="C11" s="84">
        <f>+Patamares!C11</f>
        <v>11329000</v>
      </c>
      <c r="D11" s="84">
        <f>+Patamares!D11</f>
        <v>13000000</v>
      </c>
      <c r="E11" s="84">
        <f>+Patamares!E11</f>
        <v>1400000</v>
      </c>
      <c r="F11" s="84">
        <f>+Patamares!F11</f>
        <v>2500000</v>
      </c>
      <c r="G11" s="84">
        <f>+Patamares!G11</f>
        <v>1300000</v>
      </c>
      <c r="H11" s="84">
        <f>+Patamares!H11</f>
        <v>0</v>
      </c>
      <c r="I11" s="84">
        <f>+Patamares!I11</f>
        <v>0</v>
      </c>
      <c r="J11" s="84">
        <f>+Patamares!J11</f>
        <v>0</v>
      </c>
      <c r="K11" s="84">
        <f>+Patamares!K11</f>
        <v>480000</v>
      </c>
      <c r="L11" s="84">
        <f>+Patamares!L11</f>
        <v>320000</v>
      </c>
      <c r="M11" s="84">
        <f>+Patamares!M11</f>
        <v>0</v>
      </c>
      <c r="N11" s="84">
        <f>+Patamares!N11</f>
        <v>1200000</v>
      </c>
      <c r="O11" s="84">
        <f>+Patamares!O11</f>
        <v>2000000</v>
      </c>
      <c r="P11" s="155"/>
      <c r="Q11" s="155"/>
      <c r="R11" s="155"/>
      <c r="S11" s="155"/>
    </row>
    <row r="12" spans="1:19" ht="15.75">
      <c r="A12" s="91" t="s">
        <v>168</v>
      </c>
      <c r="B12" s="92"/>
      <c r="C12" s="84">
        <f>+Patamares!C14</f>
        <v>12000000</v>
      </c>
      <c r="D12" s="84">
        <f>+Patamares!D14</f>
        <v>17400000</v>
      </c>
      <c r="E12" s="84">
        <f>+Patamares!E14</f>
        <v>6400000</v>
      </c>
      <c r="F12" s="84">
        <f>+Patamares!F14</f>
        <v>3500000</v>
      </c>
      <c r="G12" s="84">
        <f>+Patamares!G14</f>
        <v>5900000</v>
      </c>
      <c r="H12" s="84">
        <f>+Patamares!H14</f>
        <v>1700000</v>
      </c>
      <c r="I12" s="84">
        <f>+Patamares!I14</f>
        <v>1900000</v>
      </c>
      <c r="J12" s="84">
        <f>+Patamares!J14</f>
        <v>1000000</v>
      </c>
      <c r="K12" s="84">
        <f>+Patamares!K14</f>
        <v>3000000</v>
      </c>
      <c r="L12" s="84">
        <f>+Patamares!L14</f>
        <v>1600000</v>
      </c>
      <c r="M12" s="84">
        <f>+Patamares!M14</f>
        <v>600000</v>
      </c>
      <c r="N12" s="84">
        <f>+Patamares!N14</f>
        <v>1800000</v>
      </c>
      <c r="O12" s="84">
        <f>+Patamares!O14</f>
        <v>2600000</v>
      </c>
      <c r="P12" s="155"/>
      <c r="Q12" s="155"/>
      <c r="R12" s="155"/>
      <c r="S12" s="155"/>
    </row>
    <row r="13" spans="1:19" ht="15.75">
      <c r="A13" s="91" t="s">
        <v>169</v>
      </c>
      <c r="B13" s="92"/>
      <c r="C13" s="84">
        <f>+Patamares!C15</f>
        <v>15000000</v>
      </c>
      <c r="D13" s="84">
        <f>+Patamares!D15</f>
        <v>21100000</v>
      </c>
      <c r="E13" s="84">
        <f>+Patamares!E15</f>
        <v>9100000</v>
      </c>
      <c r="F13" s="84">
        <f>+Patamares!F15</f>
        <v>4500000</v>
      </c>
      <c r="G13" s="84">
        <f>+Patamares!G15</f>
        <v>8500000</v>
      </c>
      <c r="H13" s="84">
        <f>+Patamares!H15</f>
        <v>3100000</v>
      </c>
      <c r="I13" s="84">
        <f>+Patamares!I15</f>
        <v>3300000</v>
      </c>
      <c r="J13" s="84">
        <f>+Patamares!J15</f>
        <v>1500000</v>
      </c>
      <c r="K13" s="84">
        <f>+Patamares!K15</f>
        <v>3800000</v>
      </c>
      <c r="L13" s="84">
        <f>+Patamares!L15</f>
        <v>2000000</v>
      </c>
      <c r="M13" s="84">
        <f>+Patamares!M15</f>
        <v>700000</v>
      </c>
      <c r="N13" s="84">
        <f>+Patamares!N15</f>
        <v>1900000</v>
      </c>
      <c r="O13" s="84">
        <f>+Patamares!O15</f>
        <v>2700000</v>
      </c>
      <c r="P13" s="155"/>
      <c r="Q13" s="155"/>
      <c r="R13" s="155"/>
      <c r="S13" s="155"/>
    </row>
    <row r="14" spans="1:19" ht="15.75">
      <c r="A14" s="91" t="s">
        <v>170</v>
      </c>
      <c r="B14" s="92"/>
      <c r="C14" s="84">
        <f>+Patamares!C16</f>
        <v>18700000</v>
      </c>
      <c r="D14" s="84">
        <f>+Patamares!D16</f>
        <v>25000000</v>
      </c>
      <c r="E14" s="84">
        <f>+Patamares!E16</f>
        <v>12000000</v>
      </c>
      <c r="F14" s="84">
        <f>+Patamares!F16</f>
        <v>5500000</v>
      </c>
      <c r="G14" s="84">
        <f>+Patamares!G16</f>
        <v>11200000</v>
      </c>
      <c r="H14" s="84">
        <f>+Patamares!H16</f>
        <v>4200000</v>
      </c>
      <c r="I14" s="84">
        <f>+Patamares!I16</f>
        <v>4300000</v>
      </c>
      <c r="J14" s="84">
        <f>+Patamares!J16</f>
        <v>2000000</v>
      </c>
      <c r="K14" s="84">
        <f>+Patamares!K16</f>
        <v>4600000</v>
      </c>
      <c r="L14" s="84">
        <f>+Patamares!L16</f>
        <v>3500000</v>
      </c>
      <c r="M14" s="84">
        <f>+Patamares!M16</f>
        <v>800000</v>
      </c>
      <c r="N14" s="84">
        <f>+Patamares!N16</f>
        <v>2000000</v>
      </c>
      <c r="O14" s="84">
        <f>+Patamares!O16</f>
        <v>2800000</v>
      </c>
      <c r="P14" s="155"/>
      <c r="Q14" s="155"/>
      <c r="R14" s="155"/>
      <c r="S14" s="155"/>
    </row>
    <row r="15" spans="1:19" s="155" customFormat="1">
      <c r="A15" s="33"/>
      <c r="B15" s="162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</row>
    <row r="16" spans="1:19" s="155" customFormat="1" ht="15.75">
      <c r="A16" s="91" t="s">
        <v>171</v>
      </c>
      <c r="B16" s="92" t="s">
        <v>51</v>
      </c>
      <c r="C16" s="87">
        <v>115.71</v>
      </c>
      <c r="D16" s="87">
        <v>117.465</v>
      </c>
      <c r="E16" s="87">
        <v>263.327</v>
      </c>
      <c r="F16" s="87">
        <v>276.75</v>
      </c>
      <c r="G16" s="87">
        <f>+G33</f>
        <v>248</v>
      </c>
      <c r="H16" s="87">
        <f>+H25</f>
        <v>173.6</v>
      </c>
      <c r="I16" s="87">
        <f>+I26+I27</f>
        <v>288.60000000000002</v>
      </c>
      <c r="J16" s="87">
        <f>+J28</f>
        <v>324.05</v>
      </c>
      <c r="K16" s="87">
        <f>+K31+K29</f>
        <v>655.43499999999995</v>
      </c>
      <c r="L16" s="87">
        <f>+L30</f>
        <v>262.89999999999998</v>
      </c>
      <c r="M16" s="87">
        <v>571</v>
      </c>
      <c r="N16" s="87">
        <v>181</v>
      </c>
      <c r="O16" s="87">
        <v>159</v>
      </c>
    </row>
    <row r="17" spans="1:15" s="155" customFormat="1" ht="15.75">
      <c r="A17" s="91" t="s">
        <v>172</v>
      </c>
      <c r="B17" s="92" t="s">
        <v>51</v>
      </c>
      <c r="C17" s="116"/>
      <c r="D17" s="87"/>
      <c r="E17" s="87">
        <v>101.9</v>
      </c>
      <c r="F17" s="87"/>
      <c r="G17" s="87"/>
      <c r="H17" s="87"/>
      <c r="I17" s="87"/>
      <c r="J17" s="87"/>
      <c r="K17" s="87"/>
      <c r="L17" s="87"/>
      <c r="M17" s="87"/>
      <c r="N17" s="87"/>
      <c r="O17" s="87"/>
    </row>
    <row r="18" spans="1:15" s="155" customFormat="1" ht="15.75">
      <c r="A18" s="91" t="s">
        <v>173</v>
      </c>
      <c r="B18" s="92" t="s">
        <v>51</v>
      </c>
      <c r="C18" s="87">
        <v>13.756</v>
      </c>
      <c r="D18" s="116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87"/>
    </row>
    <row r="19" spans="1:15" s="155" customFormat="1" ht="15.75">
      <c r="A19" s="91" t="s">
        <v>174</v>
      </c>
      <c r="B19" s="92" t="s">
        <v>51</v>
      </c>
      <c r="C19" s="87">
        <v>50</v>
      </c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8">
        <f>SUM(C16:O16)</f>
        <v>3636.837</v>
      </c>
    </row>
    <row r="20" spans="1:15" s="155" customFormat="1" ht="15.75">
      <c r="A20" s="91" t="s">
        <v>175</v>
      </c>
      <c r="B20" s="92" t="s">
        <v>51</v>
      </c>
      <c r="C20" s="87">
        <v>95</v>
      </c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8"/>
    </row>
    <row r="21" spans="1:15" s="155" customFormat="1" ht="15.75">
      <c r="A21" s="91" t="s">
        <v>176</v>
      </c>
      <c r="B21" s="92" t="s">
        <v>51</v>
      </c>
      <c r="C21" s="87"/>
      <c r="D21" s="87"/>
      <c r="E21" s="87">
        <v>110</v>
      </c>
      <c r="F21" s="87"/>
      <c r="G21" s="87"/>
      <c r="H21" s="87"/>
      <c r="I21" s="87"/>
      <c r="J21" s="87"/>
      <c r="K21" s="87"/>
      <c r="L21" s="87"/>
      <c r="M21" s="87"/>
      <c r="N21" s="87"/>
      <c r="O21" s="87"/>
    </row>
    <row r="22" spans="1:15" s="155" customFormat="1" ht="15.75">
      <c r="A22" s="91" t="s">
        <v>177</v>
      </c>
      <c r="B22" s="92" t="s">
        <v>51</v>
      </c>
      <c r="C22" s="87"/>
      <c r="D22" s="87"/>
      <c r="E22" s="87"/>
      <c r="F22" s="87">
        <v>8.343</v>
      </c>
      <c r="G22" s="87"/>
      <c r="H22" s="87"/>
      <c r="I22" s="87"/>
      <c r="J22" s="87"/>
      <c r="K22" s="87"/>
      <c r="L22" s="87"/>
      <c r="M22" s="87"/>
      <c r="N22" s="87"/>
      <c r="O22" s="87"/>
    </row>
    <row r="23" spans="1:15" s="155" customFormat="1" ht="15.75">
      <c r="A23" s="91" t="s">
        <v>178</v>
      </c>
      <c r="B23" s="92" t="s">
        <v>51</v>
      </c>
      <c r="C23" s="87"/>
      <c r="D23" s="87"/>
      <c r="E23" s="87"/>
      <c r="F23" s="87">
        <v>17.190000000000001</v>
      </c>
      <c r="G23" s="87"/>
      <c r="H23" s="87"/>
      <c r="I23" s="87"/>
      <c r="J23" s="87"/>
      <c r="K23" s="87"/>
      <c r="L23" s="87"/>
      <c r="M23" s="87"/>
      <c r="N23" s="87"/>
      <c r="O23" s="87"/>
    </row>
    <row r="24" spans="1:15" s="155" customFormat="1" ht="15.75">
      <c r="A24" s="91" t="s">
        <v>179</v>
      </c>
      <c r="B24" s="92" t="s">
        <v>51</v>
      </c>
      <c r="C24" s="87"/>
      <c r="D24" s="87"/>
      <c r="E24" s="87"/>
      <c r="F24" s="87">
        <v>27.85</v>
      </c>
      <c r="G24" s="87"/>
      <c r="H24" s="87"/>
      <c r="I24" s="87"/>
      <c r="J24" s="87"/>
      <c r="K24" s="87"/>
      <c r="L24" s="87"/>
      <c r="M24" s="87"/>
      <c r="N24" s="87"/>
      <c r="O24" s="87"/>
    </row>
    <row r="25" spans="1:15" s="155" customFormat="1" ht="15.75">
      <c r="A25" s="91" t="s">
        <v>180</v>
      </c>
      <c r="B25" s="92" t="s">
        <v>51</v>
      </c>
      <c r="C25" s="87"/>
      <c r="D25" s="87"/>
      <c r="E25" s="87"/>
      <c r="F25" s="87"/>
      <c r="G25" s="87"/>
      <c r="H25" s="87">
        <v>173.6</v>
      </c>
      <c r="I25" s="87"/>
      <c r="J25" s="87"/>
      <c r="K25" s="87"/>
      <c r="L25" s="87"/>
      <c r="M25" s="87"/>
      <c r="N25" s="87"/>
      <c r="O25" s="87"/>
    </row>
    <row r="26" spans="1:15" s="155" customFormat="1" ht="15.75">
      <c r="A26" s="91" t="s">
        <v>181</v>
      </c>
      <c r="B26" s="92" t="s">
        <v>51</v>
      </c>
      <c r="C26" s="87"/>
      <c r="D26" s="87"/>
      <c r="E26" s="87"/>
      <c r="F26" s="87"/>
      <c r="G26" s="87"/>
      <c r="H26" s="87"/>
      <c r="I26" s="87">
        <v>205</v>
      </c>
      <c r="J26" s="87"/>
      <c r="K26" s="87"/>
      <c r="L26" s="87"/>
      <c r="M26" s="87"/>
      <c r="N26" s="87"/>
      <c r="O26" s="87"/>
    </row>
    <row r="27" spans="1:15" s="155" customFormat="1" ht="15.75">
      <c r="A27" s="91" t="s">
        <v>182</v>
      </c>
      <c r="B27" s="92" t="s">
        <v>51</v>
      </c>
      <c r="C27" s="87"/>
      <c r="D27" s="87"/>
      <c r="E27" s="87"/>
      <c r="F27" s="87"/>
      <c r="G27" s="87"/>
      <c r="H27" s="87"/>
      <c r="I27" s="87">
        <v>83.6</v>
      </c>
      <c r="J27" s="87"/>
      <c r="K27" s="87"/>
      <c r="L27" s="87"/>
      <c r="M27" s="87"/>
      <c r="N27" s="87"/>
      <c r="O27" s="87"/>
    </row>
    <row r="28" spans="1:15" s="155" customFormat="1" ht="15.75">
      <c r="A28" s="91" t="s">
        <v>183</v>
      </c>
      <c r="B28" s="92" t="s">
        <v>51</v>
      </c>
      <c r="C28" s="87"/>
      <c r="D28" s="87"/>
      <c r="E28" s="87"/>
      <c r="F28" s="87"/>
      <c r="G28" s="87"/>
      <c r="H28" s="87"/>
      <c r="I28" s="87"/>
      <c r="J28" s="87">
        <v>324.05</v>
      </c>
      <c r="K28" s="87"/>
      <c r="L28" s="87"/>
      <c r="M28" s="87"/>
      <c r="N28" s="87"/>
      <c r="O28" s="87"/>
    </row>
    <row r="29" spans="1:15" s="155" customFormat="1" ht="15.75">
      <c r="A29" s="91" t="s">
        <v>184</v>
      </c>
      <c r="B29" s="92" t="s">
        <v>51</v>
      </c>
      <c r="C29" s="87"/>
      <c r="D29" s="87"/>
      <c r="E29" s="87"/>
      <c r="F29" s="87"/>
      <c r="G29" s="87"/>
      <c r="H29" s="87"/>
      <c r="I29" s="87"/>
      <c r="J29" s="87"/>
      <c r="K29" s="87">
        <v>592.43499999999995</v>
      </c>
      <c r="L29" s="87"/>
      <c r="M29" s="87"/>
      <c r="N29" s="87"/>
      <c r="O29" s="87"/>
    </row>
    <row r="30" spans="1:15" s="155" customFormat="1" ht="15.75">
      <c r="A30" s="91" t="s">
        <v>185</v>
      </c>
      <c r="B30" s="92" t="s">
        <v>51</v>
      </c>
      <c r="C30" s="87"/>
      <c r="D30" s="87"/>
      <c r="E30" s="87"/>
      <c r="F30" s="87"/>
      <c r="G30" s="87"/>
      <c r="H30" s="87"/>
      <c r="I30" s="87"/>
      <c r="J30" s="87"/>
      <c r="K30" s="87"/>
      <c r="L30" s="87">
        <v>262.89999999999998</v>
      </c>
      <c r="M30" s="87"/>
      <c r="N30" s="87"/>
      <c r="O30" s="87"/>
    </row>
    <row r="31" spans="1:15" s="155" customFormat="1" ht="15.75">
      <c r="A31" s="91" t="s">
        <v>186</v>
      </c>
      <c r="B31" s="92" t="s">
        <v>51</v>
      </c>
      <c r="C31" s="87"/>
      <c r="D31" s="87"/>
      <c r="E31" s="87"/>
      <c r="F31" s="87"/>
      <c r="G31" s="87"/>
      <c r="H31" s="87"/>
      <c r="I31" s="87"/>
      <c r="J31" s="87"/>
      <c r="K31" s="87">
        <v>63</v>
      </c>
      <c r="L31" s="87"/>
      <c r="M31" s="87"/>
      <c r="N31" s="87"/>
      <c r="O31" s="87"/>
    </row>
    <row r="32" spans="1:15" s="155" customFormat="1" ht="15.75">
      <c r="A32" s="91"/>
      <c r="B32" s="92"/>
      <c r="C32" s="87"/>
      <c r="D32" s="87"/>
      <c r="E32" s="87"/>
      <c r="F32" s="87"/>
      <c r="G32" s="87"/>
      <c r="H32" s="87"/>
      <c r="I32" s="87"/>
      <c r="J32" s="87"/>
      <c r="K32" s="87">
        <f>+L29</f>
        <v>0</v>
      </c>
      <c r="L32" s="87"/>
      <c r="M32" s="87"/>
      <c r="N32" s="87"/>
      <c r="O32" s="87"/>
    </row>
    <row r="33" spans="1:15" s="155" customFormat="1" ht="15.75">
      <c r="A33" s="91" t="s">
        <v>187</v>
      </c>
      <c r="B33" s="92" t="s">
        <v>51</v>
      </c>
      <c r="C33" s="89">
        <f>+C20+C18</f>
        <v>108.756</v>
      </c>
      <c r="D33" s="89">
        <f>+D16</f>
        <v>117.465</v>
      </c>
      <c r="E33" s="87">
        <f>SUM(E17:E28)</f>
        <v>211.9</v>
      </c>
      <c r="F33" s="87">
        <f>274.307</f>
        <v>274.30700000000002</v>
      </c>
      <c r="G33" s="87">
        <f>248</f>
        <v>248</v>
      </c>
      <c r="H33" s="87">
        <f>+H25</f>
        <v>173.6</v>
      </c>
      <c r="I33" s="87">
        <f>+I16</f>
        <v>288.60000000000002</v>
      </c>
      <c r="J33" s="87">
        <f>+J28</f>
        <v>324.05</v>
      </c>
      <c r="K33" s="87">
        <f>+K29+K31</f>
        <v>655.43499999999995</v>
      </c>
      <c r="L33" s="87">
        <f>+L16</f>
        <v>262.89999999999998</v>
      </c>
      <c r="M33" s="87">
        <f>+M16</f>
        <v>571</v>
      </c>
      <c r="N33" s="87">
        <f>+N16</f>
        <v>181</v>
      </c>
      <c r="O33" s="87">
        <f>+O16</f>
        <v>159</v>
      </c>
    </row>
    <row r="34" spans="1:15" s="155" customFormat="1" ht="15.75">
      <c r="A34" s="116"/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87"/>
      <c r="O34" s="86">
        <f>SUM(C33:O33)</f>
        <v>3576.0130000000004</v>
      </c>
    </row>
    <row r="35" spans="1:15" s="155" customFormat="1" ht="15.75">
      <c r="A35" s="91" t="s">
        <v>188</v>
      </c>
      <c r="B35" s="92" t="s">
        <v>51</v>
      </c>
      <c r="C35" s="85">
        <v>7293</v>
      </c>
      <c r="D35" s="85">
        <v>7293</v>
      </c>
      <c r="E35" s="85">
        <v>7293</v>
      </c>
      <c r="F35" s="85">
        <v>7293</v>
      </c>
      <c r="G35" s="87">
        <f>+G33+H33</f>
        <v>421.6</v>
      </c>
      <c r="H35" s="87">
        <f>+G33+H33</f>
        <v>421.6</v>
      </c>
      <c r="I35" s="87">
        <f>+I33+J33</f>
        <v>612.65000000000009</v>
      </c>
      <c r="J35" s="87">
        <f>+I35</f>
        <v>612.65000000000009</v>
      </c>
      <c r="K35" s="86">
        <v>5043</v>
      </c>
      <c r="L35" s="86">
        <f>+K35</f>
        <v>5043</v>
      </c>
      <c r="M35" s="86">
        <f>+L35</f>
        <v>5043</v>
      </c>
      <c r="N35" s="87">
        <v>1867</v>
      </c>
      <c r="O35" s="87">
        <v>700</v>
      </c>
    </row>
    <row r="36" spans="1:15" s="155" customFormat="1" ht="15.75">
      <c r="A36" s="91" t="s">
        <v>189</v>
      </c>
      <c r="B36" s="92" t="s">
        <v>51</v>
      </c>
      <c r="C36" s="90">
        <f>+C16/C35</f>
        <v>1.5865898807075278E-2</v>
      </c>
      <c r="D36" s="90">
        <f>+D16/D35</f>
        <v>1.6106540518305224E-2</v>
      </c>
      <c r="E36" s="90">
        <f>+E16/E35</f>
        <v>3.6106814753873576E-2</v>
      </c>
      <c r="F36" s="90">
        <f>+F16/F35</f>
        <v>3.7947346770876182E-2</v>
      </c>
      <c r="G36" s="90">
        <f>+G16/G35</f>
        <v>0.58823529411764708</v>
      </c>
      <c r="H36" s="90"/>
      <c r="I36" s="87"/>
      <c r="J36" s="87"/>
      <c r="K36" s="87"/>
      <c r="L36" s="90">
        <f>+L16/L35</f>
        <v>5.2131667658139993E-2</v>
      </c>
      <c r="M36" s="90">
        <f>+M16/M35</f>
        <v>0.11322625421376165</v>
      </c>
      <c r="N36" s="90">
        <f>+N16/N35</f>
        <v>9.6946973754686666E-2</v>
      </c>
      <c r="O36" s="90">
        <f>+O16/O35</f>
        <v>0.22714285714285715</v>
      </c>
    </row>
    <row r="37" spans="1:15" s="155" customFormat="1" ht="15.75">
      <c r="A37" s="91" t="s">
        <v>190</v>
      </c>
      <c r="B37" s="92"/>
      <c r="C37" s="90">
        <f>+C33/C35</f>
        <v>1.4912381735911147E-2</v>
      </c>
      <c r="D37" s="90">
        <f t="shared" ref="D37:O37" si="0">+D33/D35</f>
        <v>1.6106540518305224E-2</v>
      </c>
      <c r="E37" s="90">
        <f t="shared" si="0"/>
        <v>2.9055258467023174E-2</v>
      </c>
      <c r="F37" s="90">
        <f t="shared" si="0"/>
        <v>3.7612368024132731E-2</v>
      </c>
      <c r="G37" s="90">
        <f t="shared" si="0"/>
        <v>0.58823529411764708</v>
      </c>
      <c r="H37" s="90">
        <f t="shared" si="0"/>
        <v>0.41176470588235292</v>
      </c>
      <c r="I37" s="90">
        <f t="shared" si="0"/>
        <v>0.47106830980168118</v>
      </c>
      <c r="J37" s="90">
        <f t="shared" si="0"/>
        <v>0.52893169019831876</v>
      </c>
      <c r="K37" s="90">
        <f t="shared" si="0"/>
        <v>0.1299692643267896</v>
      </c>
      <c r="L37" s="90">
        <f t="shared" si="0"/>
        <v>5.2131667658139993E-2</v>
      </c>
      <c r="M37" s="90">
        <f t="shared" si="0"/>
        <v>0.11322625421376165</v>
      </c>
      <c r="N37" s="90">
        <f t="shared" si="0"/>
        <v>9.6946973754686666E-2</v>
      </c>
      <c r="O37" s="90">
        <f t="shared" si="0"/>
        <v>0.22714285714285715</v>
      </c>
    </row>
    <row r="38" spans="1:15" s="155" customFormat="1" ht="15.75">
      <c r="A38" s="100" t="s">
        <v>93</v>
      </c>
      <c r="B38" s="106" t="s">
        <v>92</v>
      </c>
      <c r="C38" s="164">
        <v>1</v>
      </c>
      <c r="D38" s="164">
        <v>0.9</v>
      </c>
      <c r="E38" s="164">
        <v>1</v>
      </c>
      <c r="F38" s="164">
        <v>0.85</v>
      </c>
      <c r="G38" s="164">
        <v>1</v>
      </c>
      <c r="H38" s="164">
        <v>1</v>
      </c>
      <c r="I38" s="164">
        <v>0.9</v>
      </c>
      <c r="J38" s="164">
        <v>0.9</v>
      </c>
      <c r="K38" s="164">
        <v>0.85</v>
      </c>
      <c r="L38" s="164">
        <v>0.85</v>
      </c>
      <c r="M38" s="164">
        <v>1</v>
      </c>
      <c r="N38" s="164">
        <v>1</v>
      </c>
      <c r="O38" s="164">
        <v>0.75</v>
      </c>
    </row>
    <row r="39" spans="1:15" s="155" customFormat="1" ht="15.75">
      <c r="A39" s="91" t="s">
        <v>191</v>
      </c>
      <c r="B39" s="92" t="s">
        <v>92</v>
      </c>
      <c r="C39" s="164">
        <v>0.03</v>
      </c>
      <c r="D39" s="164">
        <v>0.03</v>
      </c>
      <c r="E39" s="164">
        <v>0.03</v>
      </c>
      <c r="F39" s="164">
        <v>0.03</v>
      </c>
      <c r="G39" s="164">
        <v>0.03</v>
      </c>
      <c r="H39" s="164">
        <v>0.03</v>
      </c>
      <c r="I39" s="164">
        <v>0.03</v>
      </c>
      <c r="J39" s="164">
        <v>0.03</v>
      </c>
      <c r="K39" s="164">
        <v>0.03</v>
      </c>
      <c r="L39" s="164">
        <v>0.03</v>
      </c>
      <c r="M39" s="164">
        <v>0.03</v>
      </c>
      <c r="N39" s="164">
        <v>0.03</v>
      </c>
      <c r="O39" s="164">
        <v>0.03</v>
      </c>
    </row>
    <row r="40" spans="1:15" s="155" customFormat="1" ht="15.75">
      <c r="A40" s="33"/>
      <c r="B40" s="162"/>
      <c r="C40" s="116"/>
      <c r="D40" s="116"/>
      <c r="E40" s="116"/>
      <c r="F40" s="116"/>
      <c r="G40" s="116"/>
      <c r="H40" s="116"/>
      <c r="I40" s="116"/>
      <c r="J40" s="116"/>
      <c r="K40" s="116"/>
      <c r="L40" s="116"/>
      <c r="M40" s="116"/>
      <c r="N40" s="116"/>
      <c r="O40" s="82"/>
    </row>
    <row r="41" spans="1:15" s="155" customFormat="1" ht="15.75">
      <c r="A41" s="91" t="s">
        <v>192</v>
      </c>
      <c r="B41" s="92"/>
      <c r="C41" s="100"/>
      <c r="D41" s="100"/>
      <c r="E41" s="100"/>
      <c r="F41" s="100"/>
      <c r="G41" s="100"/>
      <c r="H41" s="100"/>
      <c r="I41" s="100"/>
      <c r="J41" s="100"/>
      <c r="K41" s="100"/>
      <c r="L41" s="100"/>
      <c r="M41" s="100"/>
      <c r="N41" s="100"/>
      <c r="O41" s="100"/>
    </row>
    <row r="42" spans="1:15" s="155" customFormat="1" ht="15.75">
      <c r="A42" s="91" t="s">
        <v>193</v>
      </c>
      <c r="B42" s="106"/>
      <c r="C42" s="109" t="str">
        <f>'Trens Futuros'!C11</f>
        <v>GE C 30</v>
      </c>
      <c r="D42" s="109" t="str">
        <f>'Trens Futuros'!D11</f>
        <v>GE C 30</v>
      </c>
      <c r="E42" s="109" t="str">
        <f>'Trens Futuros'!E11</f>
        <v>GE C 30</v>
      </c>
      <c r="F42" s="109" t="str">
        <f>'Trens Futuros'!F11</f>
        <v>GE C 30</v>
      </c>
      <c r="G42" s="109" t="str">
        <f>'Trens Futuros'!G11</f>
        <v>GE C 30</v>
      </c>
      <c r="H42" s="109" t="str">
        <f>'Trens Futuros'!H11</f>
        <v>GE C 30</v>
      </c>
      <c r="I42" s="109" t="str">
        <f>'Trens Futuros'!I11</f>
        <v>GE C 30</v>
      </c>
      <c r="J42" s="109" t="str">
        <f>'Trens Futuros'!J11</f>
        <v>GE C 30</v>
      </c>
      <c r="K42" s="109" t="str">
        <f>'Trens Futuros'!K11</f>
        <v>GE C 30</v>
      </c>
      <c r="L42" s="109" t="str">
        <f>'Trens Futuros'!L11</f>
        <v>GE C 30</v>
      </c>
      <c r="M42" s="109" t="str">
        <f>'Trens Futuros'!M11</f>
        <v>GM G22 UB</v>
      </c>
      <c r="N42" s="109" t="str">
        <f>'Trens Futuros'!N11</f>
        <v>GM G22 UB</v>
      </c>
      <c r="O42" s="109" t="str">
        <f>'Trens Futuros'!O11</f>
        <v>GM G22 UB</v>
      </c>
    </row>
    <row r="43" spans="1:15" s="155" customFormat="1" ht="15.75">
      <c r="A43" s="91" t="s">
        <v>194</v>
      </c>
      <c r="B43" s="106" t="s">
        <v>195</v>
      </c>
      <c r="C43" s="82">
        <f>+'Trens Futuros'!C12</f>
        <v>3350</v>
      </c>
      <c r="D43" s="82">
        <f>+'[4]Frota Trem'!D12</f>
        <v>3350</v>
      </c>
      <c r="E43" s="82">
        <f>+'[4]Frota Trem'!E12</f>
        <v>3350</v>
      </c>
      <c r="F43" s="82">
        <f>+'[4]Frota Trem'!F12</f>
        <v>3350</v>
      </c>
      <c r="G43" s="82">
        <f>+'[4]Frota Trem'!G12</f>
        <v>3350</v>
      </c>
      <c r="H43" s="82">
        <f>+'[4]Frota Trem'!H12</f>
        <v>3350</v>
      </c>
      <c r="I43" s="82">
        <f>+'[4]Frota Trem'!I12</f>
        <v>3350</v>
      </c>
      <c r="J43" s="82">
        <f>+'[4]Frota Trem'!J12</f>
        <v>3350</v>
      </c>
      <c r="K43" s="82">
        <f>+'[4]Frota Trem'!K12</f>
        <v>3350</v>
      </c>
      <c r="L43" s="82">
        <f>+'[4]Frota Trem'!L12</f>
        <v>3350</v>
      </c>
      <c r="M43" s="82">
        <f>+'[4]Frota Trem'!M12</f>
        <v>1650</v>
      </c>
      <c r="N43" s="82">
        <f>+'[4]Frota Trem'!N12</f>
        <v>1650</v>
      </c>
      <c r="O43" s="82">
        <f>+'[4]Frota Trem'!O12</f>
        <v>1650</v>
      </c>
    </row>
    <row r="44" spans="1:15" s="155" customFormat="1" ht="15.75">
      <c r="A44" s="91" t="s">
        <v>196</v>
      </c>
      <c r="B44" s="106" t="s">
        <v>195</v>
      </c>
      <c r="C44" s="82">
        <f>+'Trens Futuros'!C13</f>
        <v>3000</v>
      </c>
      <c r="D44" s="82">
        <f>+'[4]Frota Trem'!D13</f>
        <v>3000</v>
      </c>
      <c r="E44" s="82">
        <f>+'[4]Frota Trem'!E13</f>
        <v>3000</v>
      </c>
      <c r="F44" s="82">
        <f>+'[4]Frota Trem'!F13</f>
        <v>3000</v>
      </c>
      <c r="G44" s="82">
        <f>+'[4]Frota Trem'!G13</f>
        <v>3000</v>
      </c>
      <c r="H44" s="82">
        <f>+'[4]Frota Trem'!H13</f>
        <v>3000</v>
      </c>
      <c r="I44" s="82">
        <f>+'[4]Frota Trem'!I13</f>
        <v>3000</v>
      </c>
      <c r="J44" s="82">
        <f>+'[4]Frota Trem'!J13</f>
        <v>3000</v>
      </c>
      <c r="K44" s="82">
        <f>+'[4]Frota Trem'!K13</f>
        <v>3000</v>
      </c>
      <c r="L44" s="82">
        <f>+'[4]Frota Trem'!L13</f>
        <v>3000</v>
      </c>
      <c r="M44" s="82">
        <f>+'[4]Frota Trem'!M13</f>
        <v>1500</v>
      </c>
      <c r="N44" s="82">
        <f>+'[4]Frota Trem'!N13</f>
        <v>1500</v>
      </c>
      <c r="O44" s="82">
        <f>+'[4]Frota Trem'!O13</f>
        <v>1500</v>
      </c>
    </row>
    <row r="45" spans="1:15" s="155" customFormat="1" ht="15.75">
      <c r="A45" s="91" t="s">
        <v>197</v>
      </c>
      <c r="B45" s="106" t="s">
        <v>198</v>
      </c>
      <c r="C45" s="82">
        <f>+'Trens Futuros'!C14</f>
        <v>150</v>
      </c>
      <c r="D45" s="97">
        <f>+'[4]Frota Trem'!D14</f>
        <v>150</v>
      </c>
      <c r="E45" s="97">
        <f>+'[4]Frota Trem'!E14</f>
        <v>150</v>
      </c>
      <c r="F45" s="97">
        <f>+'[4]Frota Trem'!F14</f>
        <v>150</v>
      </c>
      <c r="G45" s="97">
        <f>+'[4]Frota Trem'!G14</f>
        <v>150</v>
      </c>
      <c r="H45" s="97">
        <f>+'[4]Frota Trem'!H14</f>
        <v>150</v>
      </c>
      <c r="I45" s="97">
        <f>+'[4]Frota Trem'!I14</f>
        <v>150</v>
      </c>
      <c r="J45" s="97">
        <f>+'[4]Frota Trem'!J14</f>
        <v>150</v>
      </c>
      <c r="K45" s="97">
        <f>+'[4]Frota Trem'!K14</f>
        <v>120</v>
      </c>
      <c r="L45" s="97">
        <f>+'[4]Frota Trem'!L14</f>
        <v>120</v>
      </c>
      <c r="M45" s="97">
        <f>+'[4]Frota Trem'!M14</f>
        <v>74.400000000000006</v>
      </c>
      <c r="N45" s="97">
        <f>+'[4]Frota Trem'!N14</f>
        <v>74.400000000000006</v>
      </c>
      <c r="O45" s="97">
        <f>+'[4]Frota Trem'!O14</f>
        <v>74.400000000000006</v>
      </c>
    </row>
    <row r="46" spans="1:15" s="155" customFormat="1" ht="15.75">
      <c r="A46" s="91" t="s">
        <v>199</v>
      </c>
      <c r="B46" s="106" t="s">
        <v>92</v>
      </c>
      <c r="C46" s="132">
        <f>+'Trens Futuros'!C17</f>
        <v>80</v>
      </c>
      <c r="D46" s="132">
        <f>+'[4]Frota Trem'!D17</f>
        <v>80</v>
      </c>
      <c r="E46" s="132">
        <f>+'[4]Frota Trem'!E17</f>
        <v>80</v>
      </c>
      <c r="F46" s="132">
        <f>+'[4]Frota Trem'!F17</f>
        <v>80</v>
      </c>
      <c r="G46" s="132">
        <f>+'[4]Frota Trem'!G17</f>
        <v>80</v>
      </c>
      <c r="H46" s="132">
        <f>+'[4]Frota Trem'!H17</f>
        <v>80</v>
      </c>
      <c r="I46" s="132">
        <f>+'[4]Frota Trem'!I17</f>
        <v>80</v>
      </c>
      <c r="J46" s="132">
        <f>+'[4]Frota Trem'!J17</f>
        <v>80</v>
      </c>
      <c r="K46" s="132">
        <f>+'[4]Frota Trem'!K17</f>
        <v>80</v>
      </c>
      <c r="L46" s="132">
        <f>+'[4]Frota Trem'!L17</f>
        <v>80</v>
      </c>
      <c r="M46" s="132">
        <f>+'[4]Frota Trem'!M17</f>
        <v>80</v>
      </c>
      <c r="N46" s="132">
        <f>+'[4]Frota Trem'!N17</f>
        <v>80</v>
      </c>
      <c r="O46" s="132">
        <f>+'[4]Frota Trem'!O17</f>
        <v>80</v>
      </c>
    </row>
    <row r="47" spans="1:15" s="155" customFormat="1" ht="15.75">
      <c r="A47" s="91" t="s">
        <v>200</v>
      </c>
      <c r="B47" s="106" t="s">
        <v>201</v>
      </c>
      <c r="C47" s="100">
        <f>+'Trens Futuros'!C15</f>
        <v>6</v>
      </c>
      <c r="D47" s="100">
        <f>+'[4]Frota Trem'!D15</f>
        <v>6</v>
      </c>
      <c r="E47" s="100">
        <f>+'[4]Frota Trem'!E15</f>
        <v>6</v>
      </c>
      <c r="F47" s="100">
        <f>+'[4]Frota Trem'!F15</f>
        <v>6</v>
      </c>
      <c r="G47" s="100">
        <f>+'[4]Frota Trem'!G15</f>
        <v>6</v>
      </c>
      <c r="H47" s="100">
        <f>+'[4]Frota Trem'!H15</f>
        <v>6</v>
      </c>
      <c r="I47" s="100">
        <f>+'[4]Frota Trem'!I15</f>
        <v>6</v>
      </c>
      <c r="J47" s="100">
        <f>+'[4]Frota Trem'!J15</f>
        <v>6</v>
      </c>
      <c r="K47" s="100">
        <f>+'[4]Frota Trem'!K15</f>
        <v>6</v>
      </c>
      <c r="L47" s="100">
        <f>+'[4]Frota Trem'!L15</f>
        <v>6</v>
      </c>
      <c r="M47" s="100">
        <f>+'[4]Frota Trem'!M15</f>
        <v>4</v>
      </c>
      <c r="N47" s="100">
        <f>+'[4]Frota Trem'!N15</f>
        <v>4</v>
      </c>
      <c r="O47" s="100">
        <f>+'[4]Frota Trem'!O15</f>
        <v>4</v>
      </c>
    </row>
    <row r="48" spans="1:15" s="155" customFormat="1" ht="15.75">
      <c r="A48" s="91" t="s">
        <v>202</v>
      </c>
      <c r="B48" s="106" t="s">
        <v>40</v>
      </c>
      <c r="C48" s="100">
        <f>+'Trens Futuros'!C16</f>
        <v>25</v>
      </c>
      <c r="D48" s="97">
        <f>+'[4]Frota Trem'!D16</f>
        <v>25</v>
      </c>
      <c r="E48" s="97">
        <f>+'[4]Frota Trem'!E16</f>
        <v>25</v>
      </c>
      <c r="F48" s="97">
        <f>+'[4]Frota Trem'!F16</f>
        <v>25</v>
      </c>
      <c r="G48" s="97">
        <f>+'[4]Frota Trem'!G16</f>
        <v>25</v>
      </c>
      <c r="H48" s="97">
        <f>+'[4]Frota Trem'!H16</f>
        <v>25</v>
      </c>
      <c r="I48" s="97">
        <f>+'[4]Frota Trem'!I16</f>
        <v>25</v>
      </c>
      <c r="J48" s="97">
        <f>+'[4]Frota Trem'!J16</f>
        <v>25</v>
      </c>
      <c r="K48" s="97">
        <f>+'[4]Frota Trem'!K16</f>
        <v>25</v>
      </c>
      <c r="L48" s="97">
        <f>+'[4]Frota Trem'!L16</f>
        <v>25</v>
      </c>
      <c r="M48" s="97">
        <f>+'[4]Frota Trem'!M16</f>
        <v>20</v>
      </c>
      <c r="N48" s="97">
        <f>+'[4]Frota Trem'!N16</f>
        <v>20</v>
      </c>
      <c r="O48" s="97">
        <f>+'[4]Frota Trem'!O16</f>
        <v>20</v>
      </c>
    </row>
    <row r="49" spans="1:15" s="155" customFormat="1" ht="15.75">
      <c r="A49" s="91" t="s">
        <v>203</v>
      </c>
      <c r="B49" s="106" t="s">
        <v>204</v>
      </c>
      <c r="C49" s="100">
        <v>4</v>
      </c>
      <c r="D49" s="100">
        <v>2</v>
      </c>
      <c r="E49" s="100">
        <v>2</v>
      </c>
      <c r="F49" s="100">
        <v>2</v>
      </c>
      <c r="G49" s="100">
        <v>1</v>
      </c>
      <c r="H49" s="100">
        <v>1</v>
      </c>
      <c r="I49" s="100">
        <v>1</v>
      </c>
      <c r="J49" s="100">
        <v>1</v>
      </c>
      <c r="K49" s="100">
        <v>1</v>
      </c>
      <c r="L49" s="100">
        <v>1</v>
      </c>
      <c r="M49" s="100">
        <v>0</v>
      </c>
      <c r="N49" s="100">
        <v>1</v>
      </c>
      <c r="O49" s="100">
        <v>2</v>
      </c>
    </row>
    <row r="50" spans="1:15" s="155" customFormat="1" ht="15.75">
      <c r="A50" s="91" t="s">
        <v>205</v>
      </c>
      <c r="B50" s="106" t="s">
        <v>204</v>
      </c>
      <c r="C50" s="100">
        <v>4</v>
      </c>
      <c r="D50" s="100">
        <v>2</v>
      </c>
      <c r="E50" s="100">
        <v>2</v>
      </c>
      <c r="F50" s="100">
        <v>2</v>
      </c>
      <c r="G50" s="100">
        <v>1</v>
      </c>
      <c r="H50" s="100">
        <v>1</v>
      </c>
      <c r="I50" s="100">
        <v>1</v>
      </c>
      <c r="J50" s="100">
        <v>1</v>
      </c>
      <c r="K50" s="100">
        <v>1</v>
      </c>
      <c r="L50" s="100">
        <v>1</v>
      </c>
      <c r="M50" s="100">
        <v>1</v>
      </c>
      <c r="N50" s="100">
        <v>1</v>
      </c>
      <c r="O50" s="100">
        <v>2</v>
      </c>
    </row>
    <row r="51" spans="1:15" s="155" customFormat="1" ht="15.75">
      <c r="A51" s="91" t="s">
        <v>206</v>
      </c>
      <c r="B51" s="106" t="s">
        <v>204</v>
      </c>
      <c r="C51" s="100">
        <v>6</v>
      </c>
      <c r="D51" s="100">
        <v>3</v>
      </c>
      <c r="E51" s="100">
        <v>3</v>
      </c>
      <c r="F51" s="100">
        <v>3</v>
      </c>
      <c r="G51" s="100">
        <v>2</v>
      </c>
      <c r="H51" s="100">
        <v>1</v>
      </c>
      <c r="I51" s="100">
        <v>2</v>
      </c>
      <c r="J51" s="100">
        <v>1</v>
      </c>
      <c r="K51" s="100">
        <v>2</v>
      </c>
      <c r="L51" s="100">
        <v>1</v>
      </c>
      <c r="M51" s="100">
        <v>1</v>
      </c>
      <c r="N51" s="100">
        <v>2</v>
      </c>
      <c r="O51" s="100">
        <v>3</v>
      </c>
    </row>
    <row r="52" spans="1:15" s="155" customFormat="1" ht="15.75">
      <c r="A52" s="91" t="s">
        <v>207</v>
      </c>
      <c r="B52" s="106" t="s">
        <v>204</v>
      </c>
      <c r="C52" s="100">
        <v>6</v>
      </c>
      <c r="D52" s="100">
        <v>3</v>
      </c>
      <c r="E52" s="100">
        <v>3</v>
      </c>
      <c r="F52" s="100">
        <v>3</v>
      </c>
      <c r="G52" s="100">
        <v>2</v>
      </c>
      <c r="H52" s="100">
        <v>1</v>
      </c>
      <c r="I52" s="100">
        <v>2</v>
      </c>
      <c r="J52" s="100">
        <v>1</v>
      </c>
      <c r="K52" s="100">
        <v>2</v>
      </c>
      <c r="L52" s="100">
        <v>1</v>
      </c>
      <c r="M52" s="100">
        <v>1</v>
      </c>
      <c r="N52" s="100">
        <v>2</v>
      </c>
      <c r="O52" s="100">
        <v>3</v>
      </c>
    </row>
    <row r="53" spans="1:15" s="155" customFormat="1" ht="15.75">
      <c r="A53" s="33"/>
      <c r="B53" s="162"/>
      <c r="C53" s="100"/>
      <c r="D53" s="100"/>
      <c r="E53" s="100"/>
      <c r="F53" s="100"/>
      <c r="G53" s="100"/>
      <c r="H53" s="100"/>
      <c r="I53" s="100"/>
      <c r="J53" s="100"/>
      <c r="K53" s="100"/>
      <c r="L53" s="100"/>
      <c r="M53" s="100"/>
      <c r="N53" s="100"/>
      <c r="O53" s="100"/>
    </row>
    <row r="54" spans="1:15" s="155" customFormat="1" ht="15.75">
      <c r="A54" s="91" t="s">
        <v>208</v>
      </c>
      <c r="B54" s="106"/>
      <c r="C54" s="100"/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</row>
    <row r="55" spans="1:15" s="155" customFormat="1" ht="15.75">
      <c r="A55" s="91" t="s">
        <v>193</v>
      </c>
      <c r="B55" s="106"/>
      <c r="C55" s="107" t="str">
        <f>'Trens Futuros'!C20</f>
        <v xml:space="preserve">Gôndola </v>
      </c>
      <c r="D55" s="107" t="str">
        <f>'Trens Futuros'!D20</f>
        <v xml:space="preserve">Gôndola </v>
      </c>
      <c r="E55" s="107" t="str">
        <f>'Trens Futuros'!E20</f>
        <v xml:space="preserve">Gôndola </v>
      </c>
      <c r="F55" s="107" t="str">
        <f>'Trens Futuros'!F20</f>
        <v xml:space="preserve">Gôndola </v>
      </c>
      <c r="G55" s="107" t="str">
        <f>'Trens Futuros'!G20</f>
        <v xml:space="preserve">Gôndola </v>
      </c>
      <c r="H55" s="107" t="str">
        <f>'Trens Futuros'!H20</f>
        <v xml:space="preserve">Gôndola </v>
      </c>
      <c r="I55" s="107" t="str">
        <f>'Trens Futuros'!I20</f>
        <v xml:space="preserve">Gôndola </v>
      </c>
      <c r="J55" s="107" t="str">
        <f>'Trens Futuros'!J20</f>
        <v xml:space="preserve">Gôndola </v>
      </c>
      <c r="K55" s="107" t="str">
        <f>'Trens Futuros'!K20</f>
        <v xml:space="preserve">Gôndola </v>
      </c>
      <c r="L55" s="107" t="str">
        <f>'Trens Futuros'!L20</f>
        <v xml:space="preserve">Gôndola </v>
      </c>
      <c r="M55" s="107" t="str">
        <f>'Trens Futuros'!M20</f>
        <v xml:space="preserve">Gôndola </v>
      </c>
      <c r="N55" s="107" t="str">
        <f>'Trens Futuros'!N20</f>
        <v xml:space="preserve">Gôndola </v>
      </c>
      <c r="O55" s="107" t="str">
        <f>'Trens Futuros'!O20</f>
        <v xml:space="preserve">Gôndola </v>
      </c>
    </row>
    <row r="56" spans="1:15" s="155" customFormat="1" ht="15.75">
      <c r="A56" s="91" t="s">
        <v>209</v>
      </c>
      <c r="B56" s="106" t="s">
        <v>198</v>
      </c>
      <c r="C56" s="165">
        <f>+C58+C60</f>
        <v>80</v>
      </c>
      <c r="D56" s="165">
        <f t="shared" ref="D56:O56" si="1">+D58+D60</f>
        <v>80</v>
      </c>
      <c r="E56" s="165">
        <f t="shared" si="1"/>
        <v>80</v>
      </c>
      <c r="F56" s="165">
        <f t="shared" si="1"/>
        <v>80</v>
      </c>
      <c r="G56" s="165">
        <f t="shared" si="1"/>
        <v>80</v>
      </c>
      <c r="H56" s="165">
        <f t="shared" si="1"/>
        <v>80</v>
      </c>
      <c r="I56" s="165">
        <f t="shared" si="1"/>
        <v>80</v>
      </c>
      <c r="J56" s="165">
        <f t="shared" si="1"/>
        <v>80</v>
      </c>
      <c r="K56" s="165">
        <f t="shared" si="1"/>
        <v>80</v>
      </c>
      <c r="L56" s="165">
        <f t="shared" si="1"/>
        <v>80</v>
      </c>
      <c r="M56" s="165">
        <f t="shared" si="1"/>
        <v>80</v>
      </c>
      <c r="N56" s="165">
        <f t="shared" si="1"/>
        <v>80</v>
      </c>
      <c r="O56" s="165">
        <f t="shared" si="1"/>
        <v>80</v>
      </c>
    </row>
    <row r="57" spans="1:15" s="155" customFormat="1" ht="15.75">
      <c r="A57" s="91" t="s">
        <v>115</v>
      </c>
      <c r="B57" s="106" t="s">
        <v>198</v>
      </c>
      <c r="C57" s="97">
        <f>+C59+C60</f>
        <v>78.5</v>
      </c>
      <c r="D57" s="97">
        <f t="shared" ref="D57:O57" si="2">+D59+D60</f>
        <v>78.5</v>
      </c>
      <c r="E57" s="97">
        <f t="shared" si="2"/>
        <v>78.5</v>
      </c>
      <c r="F57" s="97">
        <f t="shared" si="2"/>
        <v>78.5</v>
      </c>
      <c r="G57" s="97">
        <f t="shared" si="2"/>
        <v>78.5</v>
      </c>
      <c r="H57" s="97">
        <f t="shared" si="2"/>
        <v>78.5</v>
      </c>
      <c r="I57" s="97">
        <f t="shared" si="2"/>
        <v>78.5</v>
      </c>
      <c r="J57" s="97">
        <f t="shared" si="2"/>
        <v>78.5</v>
      </c>
      <c r="K57" s="97">
        <f t="shared" si="2"/>
        <v>78.5</v>
      </c>
      <c r="L57" s="97">
        <f t="shared" si="2"/>
        <v>78.5</v>
      </c>
      <c r="M57" s="97">
        <f t="shared" si="2"/>
        <v>78.5</v>
      </c>
      <c r="N57" s="97">
        <f t="shared" si="2"/>
        <v>78.5</v>
      </c>
      <c r="O57" s="97">
        <f t="shared" si="2"/>
        <v>78.5</v>
      </c>
    </row>
    <row r="58" spans="1:15" s="155" customFormat="1" ht="15.75">
      <c r="A58" s="91" t="s">
        <v>210</v>
      </c>
      <c r="B58" s="106" t="s">
        <v>198</v>
      </c>
      <c r="C58" s="97">
        <f>+'Trens Futuros'!C23</f>
        <v>60</v>
      </c>
      <c r="D58" s="97">
        <f>+'Trens Futuros'!D23</f>
        <v>60</v>
      </c>
      <c r="E58" s="97">
        <f>+'Trens Futuros'!E23</f>
        <v>60</v>
      </c>
      <c r="F58" s="97">
        <f>+'Trens Futuros'!F23</f>
        <v>60</v>
      </c>
      <c r="G58" s="97">
        <f>+'Trens Futuros'!G23</f>
        <v>60</v>
      </c>
      <c r="H58" s="97">
        <f>+'Trens Futuros'!H23</f>
        <v>60</v>
      </c>
      <c r="I58" s="97">
        <f>+'Trens Futuros'!I23</f>
        <v>60</v>
      </c>
      <c r="J58" s="97">
        <f>+'Trens Futuros'!J23</f>
        <v>60</v>
      </c>
      <c r="K58" s="97">
        <f>+'Trens Futuros'!K23</f>
        <v>60</v>
      </c>
      <c r="L58" s="97">
        <f>+'Trens Futuros'!L23</f>
        <v>60</v>
      </c>
      <c r="M58" s="97">
        <f>+'Trens Futuros'!M23</f>
        <v>60</v>
      </c>
      <c r="N58" s="97">
        <f>+'Trens Futuros'!N23</f>
        <v>60</v>
      </c>
      <c r="O58" s="97">
        <f>+'Trens Futuros'!O23</f>
        <v>60</v>
      </c>
    </row>
    <row r="59" spans="1:15" s="155" customFormat="1" ht="15.75">
      <c r="A59" s="91" t="s">
        <v>211</v>
      </c>
      <c r="B59" s="106" t="s">
        <v>198</v>
      </c>
      <c r="C59" s="97">
        <f>+'Trens Futuros'!C24</f>
        <v>58.5</v>
      </c>
      <c r="D59" s="97">
        <f>+'Trens Futuros'!D24</f>
        <v>58.5</v>
      </c>
      <c r="E59" s="97">
        <f>+'Trens Futuros'!E24</f>
        <v>58.5</v>
      </c>
      <c r="F59" s="97">
        <f>+'Trens Futuros'!F24</f>
        <v>58.5</v>
      </c>
      <c r="G59" s="97">
        <f>+'Trens Futuros'!G24</f>
        <v>58.5</v>
      </c>
      <c r="H59" s="97">
        <f>+'Trens Futuros'!H24</f>
        <v>58.5</v>
      </c>
      <c r="I59" s="97">
        <f>+'Trens Futuros'!I24</f>
        <v>58.5</v>
      </c>
      <c r="J59" s="97">
        <f>+'Trens Futuros'!J24</f>
        <v>58.5</v>
      </c>
      <c r="K59" s="97">
        <f>+'Trens Futuros'!K24</f>
        <v>58.5</v>
      </c>
      <c r="L59" s="97">
        <f>+'Trens Futuros'!L24</f>
        <v>58.5</v>
      </c>
      <c r="M59" s="97">
        <f>+'Trens Futuros'!M24</f>
        <v>58.5</v>
      </c>
      <c r="N59" s="97">
        <f>+'Trens Futuros'!N24</f>
        <v>58.5</v>
      </c>
      <c r="O59" s="97">
        <f>+'Trens Futuros'!O24</f>
        <v>58.5</v>
      </c>
    </row>
    <row r="60" spans="1:15" s="155" customFormat="1" ht="15.75">
      <c r="A60" s="91" t="s">
        <v>113</v>
      </c>
      <c r="B60" s="106" t="s">
        <v>198</v>
      </c>
      <c r="C60" s="97">
        <f>+'Trens Futuros'!C25</f>
        <v>20</v>
      </c>
      <c r="D60" s="97">
        <f>+'Trens Futuros'!D25</f>
        <v>20</v>
      </c>
      <c r="E60" s="97">
        <f>+'Trens Futuros'!E25</f>
        <v>20</v>
      </c>
      <c r="F60" s="97">
        <f>+'Trens Futuros'!F25</f>
        <v>20</v>
      </c>
      <c r="G60" s="97">
        <f>+'Trens Futuros'!G25</f>
        <v>20</v>
      </c>
      <c r="H60" s="97">
        <f>+'Trens Futuros'!H25</f>
        <v>20</v>
      </c>
      <c r="I60" s="97">
        <f>+'Trens Futuros'!I25</f>
        <v>20</v>
      </c>
      <c r="J60" s="97">
        <f>+'Trens Futuros'!J25</f>
        <v>20</v>
      </c>
      <c r="K60" s="97">
        <f>+'Trens Futuros'!K25</f>
        <v>20</v>
      </c>
      <c r="L60" s="97">
        <f>+'Trens Futuros'!L25</f>
        <v>20</v>
      </c>
      <c r="M60" s="97">
        <f>+'Trens Futuros'!M25</f>
        <v>20</v>
      </c>
      <c r="N60" s="97">
        <f>+'Trens Futuros'!N25</f>
        <v>20</v>
      </c>
      <c r="O60" s="97">
        <f>+'Trens Futuros'!O25</f>
        <v>20</v>
      </c>
    </row>
    <row r="61" spans="1:15" s="155" customFormat="1" ht="15.75">
      <c r="A61" s="91" t="s">
        <v>199</v>
      </c>
      <c r="B61" s="106" t="s">
        <v>92</v>
      </c>
      <c r="C61" s="97">
        <f>'Trens Futuros'!C28</f>
        <v>90</v>
      </c>
      <c r="D61" s="97">
        <f>'Trens Futuros'!D28</f>
        <v>90</v>
      </c>
      <c r="E61" s="97">
        <f>'Trens Futuros'!E28</f>
        <v>90</v>
      </c>
      <c r="F61" s="97">
        <f>'Trens Futuros'!F28</f>
        <v>90</v>
      </c>
      <c r="G61" s="97">
        <f>'Trens Futuros'!G28</f>
        <v>90</v>
      </c>
      <c r="H61" s="97">
        <f>'Trens Futuros'!H28</f>
        <v>90</v>
      </c>
      <c r="I61" s="97">
        <f>'Trens Futuros'!I28</f>
        <v>90</v>
      </c>
      <c r="J61" s="97">
        <f>'Trens Futuros'!J28</f>
        <v>90</v>
      </c>
      <c r="K61" s="97">
        <f>'Trens Futuros'!K28</f>
        <v>90</v>
      </c>
      <c r="L61" s="97">
        <f>'Trens Futuros'!L28</f>
        <v>90</v>
      </c>
      <c r="M61" s="97">
        <f>'Trens Futuros'!M28</f>
        <v>90</v>
      </c>
      <c r="N61" s="97">
        <f>'Trens Futuros'!N28</f>
        <v>90</v>
      </c>
      <c r="O61" s="97">
        <f>'Trens Futuros'!O28</f>
        <v>90</v>
      </c>
    </row>
    <row r="62" spans="1:15" s="155" customFormat="1" ht="15.75">
      <c r="A62" s="91" t="s">
        <v>200</v>
      </c>
      <c r="B62" s="106" t="s">
        <v>201</v>
      </c>
      <c r="C62" s="100">
        <f>'Trens Futuros'!C26</f>
        <v>4</v>
      </c>
      <c r="D62" s="100">
        <f>'Trens Futuros'!D26</f>
        <v>4</v>
      </c>
      <c r="E62" s="100">
        <f>'Trens Futuros'!E26</f>
        <v>4</v>
      </c>
      <c r="F62" s="100">
        <f>'Trens Futuros'!F26</f>
        <v>4</v>
      </c>
      <c r="G62" s="100">
        <f>'Trens Futuros'!G26</f>
        <v>4</v>
      </c>
      <c r="H62" s="100">
        <f>'Trens Futuros'!H26</f>
        <v>4</v>
      </c>
      <c r="I62" s="100">
        <f>'Trens Futuros'!I26</f>
        <v>4</v>
      </c>
      <c r="J62" s="100">
        <f>'Trens Futuros'!J26</f>
        <v>4</v>
      </c>
      <c r="K62" s="100">
        <f>'Trens Futuros'!K26</f>
        <v>4</v>
      </c>
      <c r="L62" s="100">
        <f>'Trens Futuros'!L26</f>
        <v>4</v>
      </c>
      <c r="M62" s="100">
        <f>'Trens Futuros'!M26</f>
        <v>4</v>
      </c>
      <c r="N62" s="100">
        <f>'Trens Futuros'!N26</f>
        <v>4</v>
      </c>
      <c r="O62" s="100">
        <f>'Trens Futuros'!O26</f>
        <v>4</v>
      </c>
    </row>
    <row r="63" spans="1:15" s="155" customFormat="1" ht="15.75">
      <c r="A63" s="91" t="s">
        <v>212</v>
      </c>
      <c r="B63" s="106" t="s">
        <v>40</v>
      </c>
      <c r="C63" s="97">
        <f>'Trens Futuros'!C27</f>
        <v>16</v>
      </c>
      <c r="D63" s="97">
        <f>'Trens Futuros'!D27</f>
        <v>16</v>
      </c>
      <c r="E63" s="97">
        <f>'Trens Futuros'!E27</f>
        <v>16</v>
      </c>
      <c r="F63" s="97">
        <f>'Trens Futuros'!F27</f>
        <v>16</v>
      </c>
      <c r="G63" s="97">
        <f>'Trens Futuros'!G27</f>
        <v>16</v>
      </c>
      <c r="H63" s="97">
        <f>'Trens Futuros'!H27</f>
        <v>16</v>
      </c>
      <c r="I63" s="97">
        <f>'Trens Futuros'!I27</f>
        <v>16</v>
      </c>
      <c r="J63" s="97">
        <f>'Trens Futuros'!J27</f>
        <v>16</v>
      </c>
      <c r="K63" s="97">
        <f>'Trens Futuros'!K27</f>
        <v>16</v>
      </c>
      <c r="L63" s="97">
        <f>'Trens Futuros'!L27</f>
        <v>16</v>
      </c>
      <c r="M63" s="97">
        <f>'Trens Futuros'!M27</f>
        <v>16</v>
      </c>
      <c r="N63" s="97">
        <f>'Trens Futuros'!N27</f>
        <v>16</v>
      </c>
      <c r="O63" s="97">
        <f>'Trens Futuros'!O27</f>
        <v>16</v>
      </c>
    </row>
    <row r="64" spans="1:15" s="155" customFormat="1" ht="15.75">
      <c r="A64" s="91"/>
      <c r="B64" s="106"/>
      <c r="C64" s="100"/>
      <c r="D64" s="100"/>
      <c r="E64" s="100"/>
      <c r="F64" s="100"/>
      <c r="G64" s="100"/>
      <c r="H64" s="100"/>
      <c r="I64" s="100"/>
      <c r="J64" s="100"/>
      <c r="K64" s="100"/>
      <c r="L64" s="100"/>
      <c r="M64" s="100"/>
      <c r="N64" s="100"/>
      <c r="O64" s="100"/>
    </row>
    <row r="65" spans="1:19" ht="15.75">
      <c r="A65" s="91" t="s">
        <v>213</v>
      </c>
      <c r="B65" s="92"/>
      <c r="C65" s="100"/>
      <c r="D65" s="100"/>
      <c r="E65" s="100"/>
      <c r="F65" s="100"/>
      <c r="G65" s="100"/>
      <c r="H65" s="100"/>
      <c r="I65" s="100"/>
      <c r="J65" s="100"/>
      <c r="K65" s="100"/>
      <c r="L65" s="100"/>
      <c r="M65" s="100"/>
      <c r="N65" s="100"/>
      <c r="O65" s="100"/>
      <c r="P65" s="155"/>
      <c r="Q65" s="155"/>
      <c r="R65" s="155"/>
      <c r="S65" s="155"/>
    </row>
    <row r="66" spans="1:19" ht="15.75">
      <c r="A66" s="91" t="s">
        <v>214</v>
      </c>
      <c r="B66" s="106" t="s">
        <v>215</v>
      </c>
      <c r="C66" s="100">
        <f>'Trens Futuros'!C31</f>
        <v>3</v>
      </c>
      <c r="D66" s="100">
        <f>'Trens Futuros'!D31</f>
        <v>3</v>
      </c>
      <c r="E66" s="100">
        <f>'Trens Futuros'!E31</f>
        <v>4</v>
      </c>
      <c r="F66" s="100">
        <f>'Trens Futuros'!F31</f>
        <v>2</v>
      </c>
      <c r="G66" s="100">
        <f>'Trens Futuros'!G31</f>
        <v>4</v>
      </c>
      <c r="H66" s="100">
        <f>'Trens Futuros'!H31</f>
        <v>4</v>
      </c>
      <c r="I66" s="100">
        <f>'Trens Futuros'!I31</f>
        <v>3</v>
      </c>
      <c r="J66" s="100">
        <f>'Trens Futuros'!J31</f>
        <v>3</v>
      </c>
      <c r="K66" s="100">
        <f>'Trens Futuros'!K31</f>
        <v>3</v>
      </c>
      <c r="L66" s="100">
        <f>'Trens Futuros'!L31</f>
        <v>3</v>
      </c>
      <c r="M66" s="100">
        <f>'Trens Futuros'!M31</f>
        <v>2</v>
      </c>
      <c r="N66" s="100">
        <f>'Trens Futuros'!N31</f>
        <v>3</v>
      </c>
      <c r="O66" s="100">
        <f>'Trens Futuros'!O31</f>
        <v>4</v>
      </c>
      <c r="P66" s="155"/>
      <c r="Q66" s="155"/>
      <c r="R66" s="155"/>
      <c r="S66" s="155"/>
    </row>
    <row r="67" spans="1:19" ht="15.75">
      <c r="A67" s="91" t="s">
        <v>31</v>
      </c>
      <c r="B67" s="106" t="s">
        <v>216</v>
      </c>
      <c r="C67" s="100">
        <f>'Trens Futuros'!C32</f>
        <v>90</v>
      </c>
      <c r="D67" s="100">
        <f>'Trens Futuros'!D32</f>
        <v>90</v>
      </c>
      <c r="E67" s="100">
        <f>'Trens Futuros'!E32</f>
        <v>90</v>
      </c>
      <c r="F67" s="100">
        <f>'Trens Futuros'!F32</f>
        <v>42</v>
      </c>
      <c r="G67" s="100">
        <f>'Trens Futuros'!G32</f>
        <v>90</v>
      </c>
      <c r="H67" s="100">
        <f>'Trens Futuros'!H32</f>
        <v>90</v>
      </c>
      <c r="I67" s="100">
        <f>'Trens Futuros'!I32</f>
        <v>90</v>
      </c>
      <c r="J67" s="100">
        <f>'Trens Futuros'!J32</f>
        <v>90</v>
      </c>
      <c r="K67" s="100">
        <f>'Trens Futuros'!K32</f>
        <v>55</v>
      </c>
      <c r="L67" s="100">
        <f>'Trens Futuros'!L32</f>
        <v>55</v>
      </c>
      <c r="M67" s="100">
        <f>'Trens Futuros'!M32</f>
        <v>12</v>
      </c>
      <c r="N67" s="100">
        <f>'Trens Futuros'!N32</f>
        <v>24</v>
      </c>
      <c r="O67" s="100">
        <f>'Trens Futuros'!O32</f>
        <v>36</v>
      </c>
      <c r="P67" s="155"/>
      <c r="Q67" s="155"/>
      <c r="R67" s="155"/>
      <c r="S67" s="155"/>
    </row>
    <row r="68" spans="1:19" ht="15.75">
      <c r="A68" s="91" t="s">
        <v>33</v>
      </c>
      <c r="B68" s="106" t="s">
        <v>34</v>
      </c>
      <c r="C68" s="82">
        <f>+C58*C67</f>
        <v>5400</v>
      </c>
      <c r="D68" s="82">
        <f t="shared" ref="D68:O68" si="3">+D58*D67</f>
        <v>5400</v>
      </c>
      <c r="E68" s="82">
        <f t="shared" si="3"/>
        <v>5400</v>
      </c>
      <c r="F68" s="82">
        <f t="shared" si="3"/>
        <v>2520</v>
      </c>
      <c r="G68" s="82">
        <f t="shared" si="3"/>
        <v>5400</v>
      </c>
      <c r="H68" s="82">
        <f t="shared" si="3"/>
        <v>5400</v>
      </c>
      <c r="I68" s="82">
        <f t="shared" si="3"/>
        <v>5400</v>
      </c>
      <c r="J68" s="82">
        <f t="shared" si="3"/>
        <v>5400</v>
      </c>
      <c r="K68" s="82">
        <f t="shared" si="3"/>
        <v>3300</v>
      </c>
      <c r="L68" s="82">
        <f t="shared" si="3"/>
        <v>3300</v>
      </c>
      <c r="M68" s="82">
        <f t="shared" si="3"/>
        <v>720</v>
      </c>
      <c r="N68" s="82">
        <f t="shared" si="3"/>
        <v>1440</v>
      </c>
      <c r="O68" s="82">
        <f t="shared" si="3"/>
        <v>2160</v>
      </c>
      <c r="P68" s="155"/>
      <c r="Q68" s="155"/>
      <c r="R68" s="155"/>
      <c r="S68" s="155"/>
    </row>
    <row r="69" spans="1:19" ht="15.75">
      <c r="A69" s="91" t="s">
        <v>69</v>
      </c>
      <c r="B69" s="106" t="s">
        <v>34</v>
      </c>
      <c r="C69" s="82">
        <f>+C59*C67</f>
        <v>5265</v>
      </c>
      <c r="D69" s="82">
        <f t="shared" ref="D69:O69" si="4">+D59*D67</f>
        <v>5265</v>
      </c>
      <c r="E69" s="82">
        <f t="shared" si="4"/>
        <v>5265</v>
      </c>
      <c r="F69" s="82">
        <f t="shared" si="4"/>
        <v>2457</v>
      </c>
      <c r="G69" s="82">
        <f t="shared" si="4"/>
        <v>5265</v>
      </c>
      <c r="H69" s="82">
        <f t="shared" si="4"/>
        <v>5265</v>
      </c>
      <c r="I69" s="82">
        <f t="shared" si="4"/>
        <v>5265</v>
      </c>
      <c r="J69" s="82">
        <f t="shared" si="4"/>
        <v>5265</v>
      </c>
      <c r="K69" s="82">
        <f t="shared" si="4"/>
        <v>3217.5</v>
      </c>
      <c r="L69" s="82">
        <f t="shared" si="4"/>
        <v>3217.5</v>
      </c>
      <c r="M69" s="82">
        <f t="shared" si="4"/>
        <v>702</v>
      </c>
      <c r="N69" s="82">
        <f t="shared" si="4"/>
        <v>1404</v>
      </c>
      <c r="O69" s="82">
        <f t="shared" si="4"/>
        <v>2106</v>
      </c>
      <c r="P69" s="155"/>
      <c r="Q69" s="155"/>
      <c r="R69" s="155"/>
      <c r="S69" s="155"/>
    </row>
    <row r="70" spans="1:19" ht="15.75">
      <c r="A70" s="91" t="s">
        <v>197</v>
      </c>
      <c r="B70" s="106" t="s">
        <v>36</v>
      </c>
      <c r="C70" s="82">
        <f>+C56*C67</f>
        <v>7200</v>
      </c>
      <c r="D70" s="82">
        <f t="shared" ref="D70:O70" si="5">+D56*D67</f>
        <v>7200</v>
      </c>
      <c r="E70" s="82">
        <f t="shared" si="5"/>
        <v>7200</v>
      </c>
      <c r="F70" s="82">
        <f t="shared" si="5"/>
        <v>3360</v>
      </c>
      <c r="G70" s="82">
        <f t="shared" si="5"/>
        <v>7200</v>
      </c>
      <c r="H70" s="82">
        <f t="shared" si="5"/>
        <v>7200</v>
      </c>
      <c r="I70" s="82">
        <f t="shared" si="5"/>
        <v>7200</v>
      </c>
      <c r="J70" s="82">
        <f t="shared" si="5"/>
        <v>7200</v>
      </c>
      <c r="K70" s="82">
        <f t="shared" si="5"/>
        <v>4400</v>
      </c>
      <c r="L70" s="82">
        <f t="shared" si="5"/>
        <v>4400</v>
      </c>
      <c r="M70" s="82">
        <f t="shared" si="5"/>
        <v>960</v>
      </c>
      <c r="N70" s="82">
        <f t="shared" si="5"/>
        <v>1920</v>
      </c>
      <c r="O70" s="82">
        <f t="shared" si="5"/>
        <v>2880</v>
      </c>
      <c r="P70" s="155"/>
      <c r="Q70" s="155"/>
      <c r="R70" s="155"/>
      <c r="S70" s="155"/>
    </row>
    <row r="71" spans="1:19" ht="15.75">
      <c r="A71" s="91" t="s">
        <v>70</v>
      </c>
      <c r="B71" s="106" t="s">
        <v>36</v>
      </c>
      <c r="C71" s="82">
        <f>+C57*C67</f>
        <v>7065</v>
      </c>
      <c r="D71" s="82">
        <f t="shared" ref="D71:O71" si="6">+D57*D67</f>
        <v>7065</v>
      </c>
      <c r="E71" s="82">
        <f t="shared" si="6"/>
        <v>7065</v>
      </c>
      <c r="F71" s="82">
        <f t="shared" si="6"/>
        <v>3297</v>
      </c>
      <c r="G71" s="82">
        <f t="shared" si="6"/>
        <v>7065</v>
      </c>
      <c r="H71" s="82">
        <f t="shared" si="6"/>
        <v>7065</v>
      </c>
      <c r="I71" s="82">
        <f t="shared" si="6"/>
        <v>7065</v>
      </c>
      <c r="J71" s="82">
        <f t="shared" si="6"/>
        <v>7065</v>
      </c>
      <c r="K71" s="82">
        <f t="shared" si="6"/>
        <v>4317.5</v>
      </c>
      <c r="L71" s="82">
        <f t="shared" si="6"/>
        <v>4317.5</v>
      </c>
      <c r="M71" s="82">
        <f t="shared" si="6"/>
        <v>942</v>
      </c>
      <c r="N71" s="82">
        <f t="shared" si="6"/>
        <v>1884</v>
      </c>
      <c r="O71" s="82">
        <f t="shared" si="6"/>
        <v>2826</v>
      </c>
      <c r="P71" s="155"/>
      <c r="Q71" s="155"/>
      <c r="R71" s="155"/>
      <c r="S71" s="155"/>
    </row>
    <row r="72" spans="1:19" ht="15.75">
      <c r="A72" s="91" t="s">
        <v>217</v>
      </c>
      <c r="B72" s="106" t="s">
        <v>40</v>
      </c>
      <c r="C72" s="82">
        <f>'Trens Futuros'!C35</f>
        <v>1515</v>
      </c>
      <c r="D72" s="82">
        <f>'Trens Futuros'!D35</f>
        <v>1515</v>
      </c>
      <c r="E72" s="82">
        <f>'Trens Futuros'!E35</f>
        <v>1540</v>
      </c>
      <c r="F72" s="82">
        <f>'Trens Futuros'!F35</f>
        <v>722</v>
      </c>
      <c r="G72" s="82">
        <f>'Trens Futuros'!G35</f>
        <v>1540</v>
      </c>
      <c r="H72" s="82">
        <f>'Trens Futuros'!H35</f>
        <v>1540</v>
      </c>
      <c r="I72" s="82">
        <f>'Trens Futuros'!I35</f>
        <v>1515</v>
      </c>
      <c r="J72" s="82">
        <f>'Trens Futuros'!J35</f>
        <v>1515</v>
      </c>
      <c r="K72" s="82">
        <f>'Trens Futuros'!K35</f>
        <v>955</v>
      </c>
      <c r="L72" s="82">
        <f>'Trens Futuros'!L35</f>
        <v>955</v>
      </c>
      <c r="M72" s="82">
        <f>'Trens Futuros'!M35</f>
        <v>232</v>
      </c>
      <c r="N72" s="82">
        <f>'Trens Futuros'!N35</f>
        <v>444</v>
      </c>
      <c r="O72" s="82">
        <f>'Trens Futuros'!O35</f>
        <v>656</v>
      </c>
      <c r="P72" s="155"/>
      <c r="Q72" s="155"/>
      <c r="R72" s="155"/>
      <c r="S72" s="155"/>
    </row>
    <row r="73" spans="1:19" ht="15.75">
      <c r="A73" s="33"/>
      <c r="B73" s="162"/>
      <c r="C73" s="106" t="str">
        <f>+C7</f>
        <v>Paranaguá</v>
      </c>
      <c r="D73" s="106" t="str">
        <f t="shared" ref="D73:O73" si="7">+D7</f>
        <v>Iguaçu</v>
      </c>
      <c r="E73" s="106" t="str">
        <f t="shared" si="7"/>
        <v>Desvio Ribas</v>
      </c>
      <c r="F73" s="106" t="str">
        <f t="shared" si="7"/>
        <v>S. Fco. do Sul</v>
      </c>
      <c r="G73" s="106" t="str">
        <f t="shared" si="7"/>
        <v>Guarapuava</v>
      </c>
      <c r="H73" s="106" t="str">
        <f>+H7</f>
        <v>Cascavel</v>
      </c>
      <c r="I73" s="106" t="str">
        <f t="shared" si="7"/>
        <v>Front. Brasil</v>
      </c>
      <c r="J73" s="106" t="str">
        <f>+J7</f>
        <v>Pirapó</v>
      </c>
      <c r="K73" s="106" t="str">
        <f t="shared" si="7"/>
        <v>Front. Argentina</v>
      </c>
      <c r="L73" s="106" t="str">
        <f>+L7</f>
        <v>J.V. Gonzalez</v>
      </c>
      <c r="M73" s="106" t="str">
        <f t="shared" si="7"/>
        <v>Salta</v>
      </c>
      <c r="N73" s="106" t="str">
        <f t="shared" si="7"/>
        <v>Socompa</v>
      </c>
      <c r="O73" s="106" t="str">
        <f t="shared" si="7"/>
        <v>A Victoria</v>
      </c>
      <c r="P73" s="155"/>
      <c r="Q73" s="155"/>
      <c r="R73" s="155"/>
      <c r="S73" s="155"/>
    </row>
    <row r="74" spans="1:19" s="155" customFormat="1" ht="15.75">
      <c r="A74" s="91" t="s">
        <v>218</v>
      </c>
      <c r="B74" s="92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</row>
    <row r="75" spans="1:19" s="155" customFormat="1" ht="15.75">
      <c r="A75" s="91" t="s">
        <v>219</v>
      </c>
      <c r="B75" s="106" t="s">
        <v>48</v>
      </c>
      <c r="C75" s="97">
        <v>60</v>
      </c>
      <c r="D75" s="97">
        <f>+C75</f>
        <v>60</v>
      </c>
      <c r="E75" s="97">
        <f>+D75</f>
        <v>60</v>
      </c>
      <c r="F75" s="97">
        <f>+E75</f>
        <v>60</v>
      </c>
      <c r="G75" s="97">
        <f t="shared" ref="G75:M79" si="8">+E75</f>
        <v>60</v>
      </c>
      <c r="H75" s="97">
        <f t="shared" si="8"/>
        <v>60</v>
      </c>
      <c r="I75" s="97">
        <f t="shared" si="8"/>
        <v>60</v>
      </c>
      <c r="J75" s="97">
        <f t="shared" si="8"/>
        <v>60</v>
      </c>
      <c r="K75" s="97">
        <f t="shared" si="8"/>
        <v>60</v>
      </c>
      <c r="L75" s="97">
        <f t="shared" si="8"/>
        <v>60</v>
      </c>
      <c r="M75" s="97">
        <f t="shared" si="8"/>
        <v>60</v>
      </c>
      <c r="N75" s="97">
        <f>+M75</f>
        <v>60</v>
      </c>
      <c r="O75" s="97">
        <f>+N75</f>
        <v>60</v>
      </c>
    </row>
    <row r="76" spans="1:19" s="155" customFormat="1" ht="15.75">
      <c r="A76" s="91" t="s">
        <v>220</v>
      </c>
      <c r="B76" s="106" t="s">
        <v>48</v>
      </c>
      <c r="C76" s="97">
        <v>31</v>
      </c>
      <c r="D76" s="97">
        <f t="shared" ref="D76:F79" si="9">+C76</f>
        <v>31</v>
      </c>
      <c r="E76" s="97">
        <f t="shared" si="9"/>
        <v>31</v>
      </c>
      <c r="F76" s="97">
        <f t="shared" si="9"/>
        <v>31</v>
      </c>
      <c r="G76" s="97">
        <f t="shared" si="8"/>
        <v>31</v>
      </c>
      <c r="H76" s="97">
        <f t="shared" si="8"/>
        <v>31</v>
      </c>
      <c r="I76" s="97">
        <f t="shared" si="8"/>
        <v>31</v>
      </c>
      <c r="J76" s="97">
        <f t="shared" si="8"/>
        <v>31</v>
      </c>
      <c r="K76" s="97">
        <v>31</v>
      </c>
      <c r="L76" s="97">
        <v>31</v>
      </c>
      <c r="M76" s="97">
        <v>31</v>
      </c>
      <c r="N76" s="97">
        <v>28</v>
      </c>
      <c r="O76" s="97">
        <v>28</v>
      </c>
    </row>
    <row r="77" spans="1:19" s="155" customFormat="1" ht="15.75">
      <c r="A77" s="91" t="s">
        <v>221</v>
      </c>
      <c r="B77" s="106" t="s">
        <v>48</v>
      </c>
      <c r="C77" s="97">
        <v>33</v>
      </c>
      <c r="D77" s="97">
        <f>+C77</f>
        <v>33</v>
      </c>
      <c r="E77" s="97">
        <f>+D77</f>
        <v>33</v>
      </c>
      <c r="F77" s="97">
        <f>+E77</f>
        <v>33</v>
      </c>
      <c r="G77" s="97">
        <f t="shared" si="8"/>
        <v>33</v>
      </c>
      <c r="H77" s="97">
        <f t="shared" si="8"/>
        <v>33</v>
      </c>
      <c r="I77" s="97">
        <f t="shared" si="8"/>
        <v>33</v>
      </c>
      <c r="J77" s="97">
        <f t="shared" si="8"/>
        <v>33</v>
      </c>
      <c r="K77" s="97">
        <f t="shared" si="8"/>
        <v>33</v>
      </c>
      <c r="L77" s="97">
        <f t="shared" si="8"/>
        <v>33</v>
      </c>
      <c r="M77" s="97">
        <f t="shared" si="8"/>
        <v>33</v>
      </c>
      <c r="N77" s="97">
        <v>30</v>
      </c>
      <c r="O77" s="97">
        <v>30</v>
      </c>
    </row>
    <row r="78" spans="1:19" s="155" customFormat="1" ht="15.75">
      <c r="A78" s="91" t="s">
        <v>222</v>
      </c>
      <c r="B78" s="106" t="s">
        <v>48</v>
      </c>
      <c r="C78" s="97">
        <v>30</v>
      </c>
      <c r="D78" s="97">
        <f t="shared" si="9"/>
        <v>30</v>
      </c>
      <c r="E78" s="97">
        <f t="shared" si="9"/>
        <v>30</v>
      </c>
      <c r="F78" s="97">
        <f t="shared" si="9"/>
        <v>30</v>
      </c>
      <c r="G78" s="97">
        <f t="shared" si="8"/>
        <v>30</v>
      </c>
      <c r="H78" s="97">
        <f t="shared" si="8"/>
        <v>30</v>
      </c>
      <c r="I78" s="97">
        <f t="shared" si="8"/>
        <v>30</v>
      </c>
      <c r="J78" s="97">
        <f t="shared" si="8"/>
        <v>30</v>
      </c>
      <c r="K78" s="97">
        <f t="shared" si="8"/>
        <v>30</v>
      </c>
      <c r="L78" s="97">
        <f t="shared" si="8"/>
        <v>30</v>
      </c>
      <c r="M78" s="97">
        <f t="shared" si="8"/>
        <v>30</v>
      </c>
      <c r="N78" s="97">
        <v>25</v>
      </c>
      <c r="O78" s="97">
        <v>25</v>
      </c>
    </row>
    <row r="79" spans="1:19" s="155" customFormat="1" ht="15.75">
      <c r="A79" s="91" t="s">
        <v>223</v>
      </c>
      <c r="B79" s="106" t="s">
        <v>48</v>
      </c>
      <c r="C79" s="97">
        <v>31</v>
      </c>
      <c r="D79" s="97">
        <f t="shared" si="9"/>
        <v>31</v>
      </c>
      <c r="E79" s="97">
        <f t="shared" si="9"/>
        <v>31</v>
      </c>
      <c r="F79" s="97">
        <f t="shared" si="9"/>
        <v>31</v>
      </c>
      <c r="G79" s="97">
        <f t="shared" si="8"/>
        <v>31</v>
      </c>
      <c r="H79" s="97">
        <f t="shared" si="8"/>
        <v>31</v>
      </c>
      <c r="I79" s="97">
        <f t="shared" si="8"/>
        <v>31</v>
      </c>
      <c r="J79" s="97">
        <f t="shared" si="8"/>
        <v>31</v>
      </c>
      <c r="K79" s="97">
        <f t="shared" si="8"/>
        <v>31</v>
      </c>
      <c r="L79" s="97">
        <f t="shared" si="8"/>
        <v>31</v>
      </c>
      <c r="M79" s="97">
        <f t="shared" si="8"/>
        <v>31</v>
      </c>
      <c r="N79" s="97">
        <v>26</v>
      </c>
      <c r="O79" s="97">
        <v>26</v>
      </c>
    </row>
    <row r="80" spans="1:19" s="155" customFormat="1" ht="15.75">
      <c r="A80" s="91" t="s">
        <v>224</v>
      </c>
      <c r="B80" s="106"/>
      <c r="C80" s="132">
        <f t="shared" ref="C80:O81" si="10">+C78/C76</f>
        <v>0.967741935483871</v>
      </c>
      <c r="D80" s="132">
        <f t="shared" si="10"/>
        <v>0.967741935483871</v>
      </c>
      <c r="E80" s="132">
        <f t="shared" si="10"/>
        <v>0.967741935483871</v>
      </c>
      <c r="F80" s="132">
        <f t="shared" si="10"/>
        <v>0.967741935483871</v>
      </c>
      <c r="G80" s="132">
        <f t="shared" si="10"/>
        <v>0.967741935483871</v>
      </c>
      <c r="H80" s="132">
        <f>+H78/H76</f>
        <v>0.967741935483871</v>
      </c>
      <c r="I80" s="132">
        <f t="shared" si="10"/>
        <v>0.967741935483871</v>
      </c>
      <c r="J80" s="132">
        <f t="shared" si="10"/>
        <v>0.967741935483871</v>
      </c>
      <c r="K80" s="132">
        <f t="shared" si="10"/>
        <v>0.967741935483871</v>
      </c>
      <c r="L80" s="132">
        <f t="shared" si="10"/>
        <v>0.967741935483871</v>
      </c>
      <c r="M80" s="132">
        <f t="shared" si="10"/>
        <v>0.967741935483871</v>
      </c>
      <c r="N80" s="132">
        <f t="shared" si="10"/>
        <v>0.8928571428571429</v>
      </c>
      <c r="O80" s="132">
        <f t="shared" si="10"/>
        <v>0.8928571428571429</v>
      </c>
    </row>
    <row r="81" spans="1:15" s="155" customFormat="1" ht="15.75">
      <c r="A81" s="91" t="s">
        <v>225</v>
      </c>
      <c r="B81" s="106"/>
      <c r="C81" s="132">
        <f>+C79/C77</f>
        <v>0.93939393939393945</v>
      </c>
      <c r="D81" s="132">
        <f t="shared" si="10"/>
        <v>0.93939393939393945</v>
      </c>
      <c r="E81" s="132">
        <f t="shared" si="10"/>
        <v>0.93939393939393945</v>
      </c>
      <c r="F81" s="132">
        <f t="shared" si="10"/>
        <v>0.93939393939393945</v>
      </c>
      <c r="G81" s="132">
        <f t="shared" si="10"/>
        <v>0.93939393939393945</v>
      </c>
      <c r="H81" s="132">
        <f>+H79/H77</f>
        <v>0.93939393939393945</v>
      </c>
      <c r="I81" s="132">
        <f t="shared" si="10"/>
        <v>0.93939393939393945</v>
      </c>
      <c r="J81" s="132">
        <f t="shared" si="10"/>
        <v>0.93939393939393945</v>
      </c>
      <c r="K81" s="132">
        <f t="shared" si="10"/>
        <v>0.93939393939393945</v>
      </c>
      <c r="L81" s="132">
        <f t="shared" si="10"/>
        <v>0.93939393939393945</v>
      </c>
      <c r="M81" s="132">
        <f t="shared" si="10"/>
        <v>0.93939393939393945</v>
      </c>
      <c r="N81" s="132">
        <f t="shared" si="10"/>
        <v>0.8666666666666667</v>
      </c>
      <c r="O81" s="132">
        <f t="shared" si="10"/>
        <v>0.8666666666666667</v>
      </c>
    </row>
    <row r="82" spans="1:15" s="155" customFormat="1" ht="15.75">
      <c r="A82" s="91" t="s">
        <v>226</v>
      </c>
      <c r="B82" s="106"/>
      <c r="C82" s="132"/>
      <c r="D82" s="132"/>
      <c r="E82" s="132"/>
      <c r="F82" s="132"/>
      <c r="G82" s="132"/>
      <c r="H82" s="132"/>
      <c r="I82" s="132"/>
      <c r="J82" s="132"/>
      <c r="K82" s="132"/>
      <c r="L82" s="132"/>
      <c r="M82" s="132"/>
      <c r="N82" s="132"/>
      <c r="O82" s="132"/>
    </row>
    <row r="83" spans="1:15" s="155" customFormat="1" ht="15.75">
      <c r="A83" s="91" t="s">
        <v>227</v>
      </c>
      <c r="B83" s="106" t="s">
        <v>228</v>
      </c>
      <c r="C83" s="97">
        <v>0.5</v>
      </c>
      <c r="D83" s="97">
        <v>0.5</v>
      </c>
      <c r="E83" s="97">
        <v>0.5</v>
      </c>
      <c r="F83" s="97">
        <v>0.5</v>
      </c>
      <c r="G83" s="97">
        <v>0.5</v>
      </c>
      <c r="H83" s="97">
        <v>0.5</v>
      </c>
      <c r="I83" s="97">
        <v>0.5</v>
      </c>
      <c r="J83" s="97">
        <v>0.5</v>
      </c>
      <c r="K83" s="97">
        <v>0.5</v>
      </c>
      <c r="L83" s="97">
        <v>0.5</v>
      </c>
      <c r="M83" s="97">
        <v>0.5</v>
      </c>
      <c r="N83" s="97">
        <v>0.5</v>
      </c>
      <c r="O83" s="97">
        <v>0.5</v>
      </c>
    </row>
    <row r="84" spans="1:15" s="155" customFormat="1" ht="15.75">
      <c r="A84" s="91" t="s">
        <v>229</v>
      </c>
      <c r="B84" s="106" t="s">
        <v>228</v>
      </c>
      <c r="C84" s="97">
        <v>6</v>
      </c>
      <c r="D84" s="97">
        <v>6</v>
      </c>
      <c r="E84" s="97">
        <v>0</v>
      </c>
      <c r="F84" s="97">
        <v>6</v>
      </c>
      <c r="G84" s="97">
        <v>6</v>
      </c>
      <c r="H84" s="97">
        <v>6</v>
      </c>
      <c r="I84" s="97">
        <v>6</v>
      </c>
      <c r="J84" s="97">
        <v>6</v>
      </c>
      <c r="K84" s="97">
        <v>6</v>
      </c>
      <c r="L84" s="97">
        <v>0</v>
      </c>
      <c r="M84" s="97">
        <v>6</v>
      </c>
      <c r="N84" s="97">
        <v>0</v>
      </c>
      <c r="O84" s="97">
        <v>6</v>
      </c>
    </row>
    <row r="85" spans="1:15" s="155" customFormat="1" ht="15.75">
      <c r="A85" s="91" t="s">
        <v>230</v>
      </c>
      <c r="B85" s="106" t="s">
        <v>228</v>
      </c>
      <c r="C85" s="97">
        <v>0</v>
      </c>
      <c r="D85" s="97">
        <v>0</v>
      </c>
      <c r="E85" s="97">
        <v>3</v>
      </c>
      <c r="F85" s="97">
        <v>0</v>
      </c>
      <c r="G85" s="97">
        <v>0.5</v>
      </c>
      <c r="H85" s="97">
        <v>0</v>
      </c>
      <c r="I85" s="97">
        <v>0.5</v>
      </c>
      <c r="J85" s="97">
        <v>0</v>
      </c>
      <c r="K85" s="97">
        <v>2</v>
      </c>
      <c r="L85" s="97">
        <v>0</v>
      </c>
      <c r="M85" s="97">
        <v>2</v>
      </c>
      <c r="N85" s="97">
        <v>0</v>
      </c>
      <c r="O85" s="97">
        <v>3</v>
      </c>
    </row>
    <row r="86" spans="1:15" s="155" customFormat="1" ht="15.75">
      <c r="A86" s="91" t="s">
        <v>231</v>
      </c>
      <c r="B86" s="106" t="s">
        <v>228</v>
      </c>
      <c r="C86" s="97">
        <v>0.5</v>
      </c>
      <c r="D86" s="97">
        <v>0.5</v>
      </c>
      <c r="E86" s="97">
        <v>0.5</v>
      </c>
      <c r="F86" s="97">
        <v>0.5</v>
      </c>
      <c r="G86" s="97">
        <v>0.5</v>
      </c>
      <c r="H86" s="97">
        <v>0.5</v>
      </c>
      <c r="I86" s="97">
        <v>0.5</v>
      </c>
      <c r="J86" s="97">
        <v>0.5</v>
      </c>
      <c r="K86" s="97">
        <v>0.5</v>
      </c>
      <c r="L86" s="97">
        <v>0.5</v>
      </c>
      <c r="M86" s="97">
        <v>0.5</v>
      </c>
      <c r="N86" s="97">
        <v>0.5</v>
      </c>
      <c r="O86" s="97">
        <v>0.5</v>
      </c>
    </row>
    <row r="87" spans="1:15" s="155" customFormat="1" ht="15.75">
      <c r="A87" s="158" t="s">
        <v>232</v>
      </c>
      <c r="B87" s="157" t="s">
        <v>228</v>
      </c>
      <c r="C87" s="166">
        <f>SUM(C83:C86)</f>
        <v>7</v>
      </c>
      <c r="D87" s="166">
        <f t="shared" ref="D87:O87" si="11">SUM(D83:D86)</f>
        <v>7</v>
      </c>
      <c r="E87" s="166">
        <f t="shared" si="11"/>
        <v>4</v>
      </c>
      <c r="F87" s="166">
        <f t="shared" si="11"/>
        <v>7</v>
      </c>
      <c r="G87" s="166">
        <f t="shared" si="11"/>
        <v>7.5</v>
      </c>
      <c r="H87" s="166">
        <f>SUM(H83:H86)</f>
        <v>7</v>
      </c>
      <c r="I87" s="166">
        <f t="shared" si="11"/>
        <v>7.5</v>
      </c>
      <c r="J87" s="166">
        <f>SUM(J83:J86)</f>
        <v>7</v>
      </c>
      <c r="K87" s="166">
        <f t="shared" si="11"/>
        <v>9</v>
      </c>
      <c r="L87" s="166">
        <f>SUM(L83:L86)</f>
        <v>1</v>
      </c>
      <c r="M87" s="166">
        <f t="shared" si="11"/>
        <v>9</v>
      </c>
      <c r="N87" s="166">
        <f t="shared" si="11"/>
        <v>1</v>
      </c>
      <c r="O87" s="166">
        <f t="shared" si="11"/>
        <v>10</v>
      </c>
    </row>
    <row r="88" spans="1:15" s="155" customFormat="1" ht="15.75">
      <c r="A88" s="91" t="s">
        <v>233</v>
      </c>
      <c r="B88" s="106" t="s">
        <v>228</v>
      </c>
      <c r="C88" s="97">
        <f>+C83</f>
        <v>0.5</v>
      </c>
      <c r="D88" s="97">
        <f t="shared" ref="D88:O88" si="12">+D83</f>
        <v>0.5</v>
      </c>
      <c r="E88" s="97">
        <f t="shared" si="12"/>
        <v>0.5</v>
      </c>
      <c r="F88" s="97">
        <f t="shared" si="12"/>
        <v>0.5</v>
      </c>
      <c r="G88" s="97">
        <f t="shared" si="12"/>
        <v>0.5</v>
      </c>
      <c r="H88" s="97">
        <f>+H83</f>
        <v>0.5</v>
      </c>
      <c r="I88" s="97">
        <f t="shared" si="12"/>
        <v>0.5</v>
      </c>
      <c r="J88" s="97">
        <f>+J83</f>
        <v>0.5</v>
      </c>
      <c r="K88" s="97">
        <f t="shared" si="12"/>
        <v>0.5</v>
      </c>
      <c r="L88" s="97">
        <f>+L83</f>
        <v>0.5</v>
      </c>
      <c r="M88" s="97">
        <f t="shared" si="12"/>
        <v>0.5</v>
      </c>
      <c r="N88" s="97">
        <f t="shared" si="12"/>
        <v>0.5</v>
      </c>
      <c r="O88" s="97">
        <f t="shared" si="12"/>
        <v>0.5</v>
      </c>
    </row>
    <row r="89" spans="1:15" s="155" customFormat="1" ht="15.75">
      <c r="A89" s="91" t="s">
        <v>234</v>
      </c>
      <c r="B89" s="106" t="s">
        <v>228</v>
      </c>
      <c r="C89" s="97">
        <v>5</v>
      </c>
      <c r="D89" s="97">
        <v>0</v>
      </c>
      <c r="E89" s="97">
        <f>+E84</f>
        <v>0</v>
      </c>
      <c r="F89" s="97">
        <v>5</v>
      </c>
      <c r="G89" s="97">
        <v>0</v>
      </c>
      <c r="H89" s="97">
        <v>5</v>
      </c>
      <c r="I89" s="97">
        <v>5</v>
      </c>
      <c r="J89" s="97">
        <v>5</v>
      </c>
      <c r="K89" s="97">
        <v>5</v>
      </c>
      <c r="L89" s="97">
        <v>5</v>
      </c>
      <c r="M89" s="97">
        <v>0</v>
      </c>
      <c r="N89" s="97">
        <f>+N84</f>
        <v>0</v>
      </c>
      <c r="O89" s="97">
        <v>5</v>
      </c>
    </row>
    <row r="90" spans="1:15" s="155" customFormat="1" ht="15.75">
      <c r="A90" s="91" t="s">
        <v>235</v>
      </c>
      <c r="B90" s="106" t="s">
        <v>228</v>
      </c>
      <c r="C90" s="97">
        <v>0</v>
      </c>
      <c r="D90" s="97">
        <v>0</v>
      </c>
      <c r="E90" s="97">
        <v>0</v>
      </c>
      <c r="F90" s="97">
        <v>0</v>
      </c>
      <c r="G90" s="97">
        <v>0</v>
      </c>
      <c r="H90" s="97">
        <v>0</v>
      </c>
      <c r="I90" s="97">
        <v>6</v>
      </c>
      <c r="J90" s="97">
        <v>6</v>
      </c>
      <c r="K90" s="97">
        <v>6</v>
      </c>
      <c r="L90" s="97">
        <v>0</v>
      </c>
      <c r="M90" s="97">
        <v>3</v>
      </c>
      <c r="N90" s="97">
        <v>3</v>
      </c>
      <c r="O90" s="97">
        <v>0</v>
      </c>
    </row>
    <row r="91" spans="1:15" s="155" customFormat="1" ht="15.75">
      <c r="A91" s="91" t="s">
        <v>230</v>
      </c>
      <c r="B91" s="106" t="s">
        <v>228</v>
      </c>
      <c r="C91" s="97">
        <v>2</v>
      </c>
      <c r="D91" s="97">
        <f>+D85</f>
        <v>0</v>
      </c>
      <c r="E91" s="97">
        <v>2</v>
      </c>
      <c r="F91" s="97">
        <v>2</v>
      </c>
      <c r="G91" s="97">
        <f>+G85</f>
        <v>0.5</v>
      </c>
      <c r="H91" s="97">
        <v>2</v>
      </c>
      <c r="I91" s="97">
        <v>2</v>
      </c>
      <c r="J91" s="97">
        <v>2</v>
      </c>
      <c r="K91" s="97">
        <v>0</v>
      </c>
      <c r="L91" s="97">
        <v>2</v>
      </c>
      <c r="M91" s="97">
        <v>2</v>
      </c>
      <c r="N91" s="97">
        <f>+N85</f>
        <v>0</v>
      </c>
      <c r="O91" s="97">
        <v>2</v>
      </c>
    </row>
    <row r="92" spans="1:15" s="155" customFormat="1" ht="15.75">
      <c r="A92" s="91" t="s">
        <v>236</v>
      </c>
      <c r="B92" s="106" t="s">
        <v>228</v>
      </c>
      <c r="C92" s="97">
        <f t="shared" ref="C92:O92" si="13">+C86</f>
        <v>0.5</v>
      </c>
      <c r="D92" s="97">
        <v>0</v>
      </c>
      <c r="E92" s="97">
        <f t="shared" si="13"/>
        <v>0.5</v>
      </c>
      <c r="F92" s="97">
        <f t="shared" si="13"/>
        <v>0.5</v>
      </c>
      <c r="G92" s="97">
        <f t="shared" si="13"/>
        <v>0.5</v>
      </c>
      <c r="H92" s="97">
        <f>+H86</f>
        <v>0.5</v>
      </c>
      <c r="I92" s="97">
        <f t="shared" si="13"/>
        <v>0.5</v>
      </c>
      <c r="J92" s="97">
        <f>+J86</f>
        <v>0.5</v>
      </c>
      <c r="K92" s="97">
        <f t="shared" si="13"/>
        <v>0.5</v>
      </c>
      <c r="L92" s="97">
        <f>+L86</f>
        <v>0.5</v>
      </c>
      <c r="M92" s="97">
        <f t="shared" si="13"/>
        <v>0.5</v>
      </c>
      <c r="N92" s="97">
        <f t="shared" si="13"/>
        <v>0.5</v>
      </c>
      <c r="O92" s="97">
        <f t="shared" si="13"/>
        <v>0.5</v>
      </c>
    </row>
    <row r="93" spans="1:15" s="155" customFormat="1" ht="15.75">
      <c r="A93" s="158" t="s">
        <v>237</v>
      </c>
      <c r="B93" s="157" t="s">
        <v>228</v>
      </c>
      <c r="C93" s="166">
        <f t="shared" ref="C93:O93" si="14">SUM(C88:C92)</f>
        <v>8</v>
      </c>
      <c r="D93" s="166">
        <f t="shared" si="14"/>
        <v>0.5</v>
      </c>
      <c r="E93" s="166">
        <f t="shared" si="14"/>
        <v>3</v>
      </c>
      <c r="F93" s="166">
        <f t="shared" si="14"/>
        <v>8</v>
      </c>
      <c r="G93" s="166">
        <f t="shared" si="14"/>
        <v>1.5</v>
      </c>
      <c r="H93" s="166">
        <f>SUM(H88:H92)</f>
        <v>8</v>
      </c>
      <c r="I93" s="166">
        <f t="shared" si="14"/>
        <v>14</v>
      </c>
      <c r="J93" s="166">
        <f>SUM(J88:J92)</f>
        <v>14</v>
      </c>
      <c r="K93" s="166">
        <f t="shared" si="14"/>
        <v>12</v>
      </c>
      <c r="L93" s="166">
        <f>SUM(L88:L92)</f>
        <v>8</v>
      </c>
      <c r="M93" s="166">
        <f t="shared" si="14"/>
        <v>6</v>
      </c>
      <c r="N93" s="166">
        <f t="shared" si="14"/>
        <v>4</v>
      </c>
      <c r="O93" s="166">
        <f t="shared" si="14"/>
        <v>8</v>
      </c>
    </row>
    <row r="94" spans="1:15" s="155" customFormat="1" ht="15.75">
      <c r="A94" s="91" t="s">
        <v>238</v>
      </c>
      <c r="B94" s="106" t="s">
        <v>228</v>
      </c>
      <c r="C94" s="97">
        <v>22</v>
      </c>
      <c r="D94" s="97">
        <v>22</v>
      </c>
      <c r="E94" s="97">
        <v>22</v>
      </c>
      <c r="F94" s="97">
        <v>22</v>
      </c>
      <c r="G94" s="97">
        <v>22</v>
      </c>
      <c r="H94" s="97">
        <v>23</v>
      </c>
      <c r="I94" s="97">
        <v>22</v>
      </c>
      <c r="J94" s="97">
        <v>23</v>
      </c>
      <c r="K94" s="97">
        <v>22</v>
      </c>
      <c r="L94" s="97">
        <v>23</v>
      </c>
      <c r="M94" s="97">
        <v>22</v>
      </c>
      <c r="N94" s="97">
        <v>22</v>
      </c>
      <c r="O94" s="97">
        <v>22</v>
      </c>
    </row>
    <row r="95" spans="1:15" s="155" customFormat="1">
      <c r="A95" s="116"/>
      <c r="B95" s="116"/>
      <c r="C95" s="116"/>
      <c r="D95" s="116"/>
      <c r="E95" s="116"/>
      <c r="F95" s="116"/>
      <c r="G95" s="116"/>
      <c r="H95" s="116"/>
      <c r="I95" s="116"/>
      <c r="J95" s="116"/>
      <c r="K95" s="116"/>
      <c r="L95" s="116"/>
      <c r="M95" s="116"/>
      <c r="N95" s="116"/>
      <c r="O95" s="116"/>
    </row>
    <row r="96" spans="1:15" s="155" customFormat="1" ht="15.75">
      <c r="A96" s="91"/>
      <c r="B96" s="106"/>
      <c r="C96" s="100"/>
      <c r="D96" s="100"/>
      <c r="E96" s="100"/>
      <c r="F96" s="100"/>
      <c r="G96" s="100"/>
      <c r="H96" s="100"/>
      <c r="I96" s="100"/>
      <c r="J96" s="100"/>
      <c r="K96" s="100"/>
      <c r="L96" s="100"/>
      <c r="M96" s="100"/>
      <c r="N96" s="100"/>
      <c r="O96" s="100"/>
    </row>
    <row r="97" spans="1:19" ht="15.75">
      <c r="A97" s="100" t="s">
        <v>239</v>
      </c>
      <c r="B97" s="106" t="s">
        <v>40</v>
      </c>
      <c r="C97" s="100">
        <v>65.67</v>
      </c>
      <c r="D97" s="100">
        <v>65.67</v>
      </c>
      <c r="E97" s="100">
        <v>65.67</v>
      </c>
      <c r="F97" s="100">
        <v>65.67</v>
      </c>
      <c r="G97" s="100">
        <v>65.67</v>
      </c>
      <c r="H97" s="100">
        <v>65.67</v>
      </c>
      <c r="I97" s="100">
        <v>65.67</v>
      </c>
      <c r="J97" s="100">
        <v>65.67</v>
      </c>
      <c r="K97" s="100">
        <v>65.67</v>
      </c>
      <c r="L97" s="100">
        <v>65.67</v>
      </c>
      <c r="M97" s="100">
        <v>65.67</v>
      </c>
      <c r="N97" s="100">
        <v>65.67</v>
      </c>
      <c r="O97" s="100">
        <v>65.67</v>
      </c>
      <c r="P97" s="155"/>
      <c r="Q97" s="155"/>
      <c r="R97" s="155"/>
      <c r="S97" s="155"/>
    </row>
    <row r="98" spans="1:19" ht="15.75">
      <c r="A98" s="100" t="s">
        <v>240</v>
      </c>
      <c r="B98" s="106" t="s">
        <v>40</v>
      </c>
      <c r="C98" s="100">
        <v>80</v>
      </c>
      <c r="D98" s="100">
        <v>80</v>
      </c>
      <c r="E98" s="100">
        <v>80</v>
      </c>
      <c r="F98" s="100">
        <v>80</v>
      </c>
      <c r="G98" s="100">
        <v>80</v>
      </c>
      <c r="H98" s="100">
        <v>80</v>
      </c>
      <c r="I98" s="100">
        <v>80</v>
      </c>
      <c r="J98" s="100">
        <v>80</v>
      </c>
      <c r="K98" s="100">
        <v>80</v>
      </c>
      <c r="L98" s="100">
        <v>80</v>
      </c>
      <c r="M98" s="100">
        <v>80</v>
      </c>
      <c r="N98" s="100">
        <v>80</v>
      </c>
      <c r="O98" s="100">
        <v>80</v>
      </c>
      <c r="P98" s="155"/>
      <c r="Q98" s="155"/>
      <c r="R98" s="155"/>
      <c r="S98" s="155"/>
    </row>
    <row r="99" spans="1:19" ht="15.75">
      <c r="A99" s="100" t="s">
        <v>241</v>
      </c>
      <c r="B99" s="106" t="s">
        <v>92</v>
      </c>
      <c r="C99" s="100">
        <v>10</v>
      </c>
      <c r="D99" s="100">
        <v>10</v>
      </c>
      <c r="E99" s="100">
        <v>10</v>
      </c>
      <c r="F99" s="100">
        <v>10</v>
      </c>
      <c r="G99" s="100">
        <v>15</v>
      </c>
      <c r="H99" s="100">
        <v>15</v>
      </c>
      <c r="I99" s="100">
        <v>20</v>
      </c>
      <c r="J99" s="100">
        <v>20</v>
      </c>
      <c r="K99" s="100">
        <v>20</v>
      </c>
      <c r="L99" s="100">
        <v>20</v>
      </c>
      <c r="M99" s="100">
        <v>20</v>
      </c>
      <c r="N99" s="100">
        <v>20</v>
      </c>
      <c r="O99" s="100">
        <v>20</v>
      </c>
      <c r="P99" s="155"/>
      <c r="Q99" s="155"/>
      <c r="R99" s="155"/>
      <c r="S99" s="155"/>
    </row>
    <row r="100" spans="1:19" ht="15.75">
      <c r="A100" s="100" t="s">
        <v>242</v>
      </c>
      <c r="B100" s="106" t="s">
        <v>92</v>
      </c>
      <c r="C100" s="100">
        <v>20</v>
      </c>
      <c r="D100" s="100">
        <v>15</v>
      </c>
      <c r="E100" s="100">
        <v>20</v>
      </c>
      <c r="F100" s="100">
        <v>20</v>
      </c>
      <c r="G100" s="100">
        <v>20</v>
      </c>
      <c r="H100" s="100">
        <v>20</v>
      </c>
      <c r="I100" s="100">
        <v>20</v>
      </c>
      <c r="J100" s="100">
        <v>20</v>
      </c>
      <c r="K100" s="100">
        <v>20</v>
      </c>
      <c r="L100" s="100">
        <v>20</v>
      </c>
      <c r="M100" s="100">
        <v>15</v>
      </c>
      <c r="N100" s="100">
        <v>15</v>
      </c>
      <c r="O100" s="100">
        <v>10</v>
      </c>
      <c r="P100" s="155"/>
      <c r="Q100" s="155"/>
      <c r="R100" s="155"/>
      <c r="S100" s="155"/>
    </row>
    <row r="101" spans="1:19" ht="15.75">
      <c r="A101" s="100" t="s">
        <v>243</v>
      </c>
      <c r="B101" s="106"/>
      <c r="C101" s="116"/>
      <c r="D101" s="116"/>
      <c r="E101" s="116"/>
      <c r="F101" s="116"/>
      <c r="G101" s="116"/>
      <c r="H101" s="116"/>
      <c r="I101" s="116"/>
      <c r="J101" s="116"/>
      <c r="K101" s="116"/>
      <c r="L101" s="116"/>
      <c r="M101" s="100"/>
      <c r="N101" s="100"/>
      <c r="O101" s="100"/>
      <c r="P101" s="155"/>
      <c r="Q101" s="155"/>
      <c r="R101" s="155"/>
      <c r="S101" s="155"/>
    </row>
    <row r="102" spans="1:19" ht="15.75">
      <c r="A102" s="100" t="s">
        <v>244</v>
      </c>
      <c r="B102" s="106" t="s">
        <v>245</v>
      </c>
      <c r="C102" s="100">
        <v>1</v>
      </c>
      <c r="D102" s="100">
        <v>0</v>
      </c>
      <c r="E102" s="100">
        <v>0</v>
      </c>
      <c r="F102" s="100">
        <v>0</v>
      </c>
      <c r="G102" s="100">
        <v>0</v>
      </c>
      <c r="H102" s="100">
        <v>0</v>
      </c>
      <c r="I102" s="100">
        <v>1</v>
      </c>
      <c r="J102" s="100">
        <v>1</v>
      </c>
      <c r="K102" s="100">
        <v>1</v>
      </c>
      <c r="L102" s="100">
        <v>1</v>
      </c>
      <c r="M102" s="100">
        <v>1</v>
      </c>
      <c r="N102" s="100">
        <v>0</v>
      </c>
      <c r="O102" s="100">
        <v>0</v>
      </c>
      <c r="P102" s="155"/>
      <c r="Q102" s="155"/>
      <c r="R102" s="155"/>
      <c r="S102" s="155"/>
    </row>
    <row r="103" spans="1:19" ht="15.75">
      <c r="A103" s="100" t="s">
        <v>246</v>
      </c>
      <c r="B103" s="106" t="s">
        <v>245</v>
      </c>
      <c r="C103" s="100">
        <v>2</v>
      </c>
      <c r="D103" s="100">
        <v>2</v>
      </c>
      <c r="E103" s="100">
        <v>1</v>
      </c>
      <c r="F103" s="100">
        <v>2</v>
      </c>
      <c r="G103" s="100">
        <v>2</v>
      </c>
      <c r="H103" s="100">
        <v>2</v>
      </c>
      <c r="I103" s="100">
        <v>2</v>
      </c>
      <c r="J103" s="100">
        <v>1</v>
      </c>
      <c r="K103" s="100">
        <v>1</v>
      </c>
      <c r="L103" s="100">
        <v>1</v>
      </c>
      <c r="M103" s="100">
        <v>1</v>
      </c>
      <c r="N103" s="100">
        <v>1</v>
      </c>
      <c r="O103" s="100">
        <v>1</v>
      </c>
      <c r="P103" s="155"/>
      <c r="Q103" s="155"/>
      <c r="R103" s="155"/>
      <c r="S103" s="155"/>
    </row>
    <row r="104" spans="1:19" ht="15.75">
      <c r="A104" s="100" t="s">
        <v>247</v>
      </c>
      <c r="B104" s="106" t="s">
        <v>245</v>
      </c>
      <c r="C104" s="100">
        <v>0</v>
      </c>
      <c r="D104" s="100">
        <v>0</v>
      </c>
      <c r="E104" s="100">
        <v>0</v>
      </c>
      <c r="F104" s="100">
        <v>0</v>
      </c>
      <c r="G104" s="100">
        <v>0</v>
      </c>
      <c r="H104" s="100">
        <v>0</v>
      </c>
      <c r="I104" s="100">
        <v>1</v>
      </c>
      <c r="J104" s="100">
        <v>1</v>
      </c>
      <c r="K104" s="100">
        <v>0</v>
      </c>
      <c r="L104" s="100">
        <v>1</v>
      </c>
      <c r="M104" s="100">
        <v>0</v>
      </c>
      <c r="N104" s="100">
        <v>0</v>
      </c>
      <c r="O104" s="100">
        <v>0</v>
      </c>
      <c r="P104" s="155"/>
      <c r="Q104" s="155"/>
      <c r="R104" s="155"/>
      <c r="S104" s="155"/>
    </row>
    <row r="105" spans="1:19" ht="15.75">
      <c r="A105" s="100" t="s">
        <v>108</v>
      </c>
      <c r="B105" s="106" t="s">
        <v>92</v>
      </c>
      <c r="C105" s="91">
        <v>20</v>
      </c>
      <c r="D105" s="91">
        <v>20</v>
      </c>
      <c r="E105" s="91">
        <v>20</v>
      </c>
      <c r="F105" s="91">
        <v>20</v>
      </c>
      <c r="G105" s="91">
        <v>20</v>
      </c>
      <c r="H105" s="91">
        <v>20</v>
      </c>
      <c r="I105" s="91">
        <v>20</v>
      </c>
      <c r="J105" s="91">
        <v>20</v>
      </c>
      <c r="K105" s="91">
        <v>20</v>
      </c>
      <c r="L105" s="91">
        <v>20</v>
      </c>
      <c r="M105" s="91">
        <v>10</v>
      </c>
      <c r="N105" s="91">
        <v>10</v>
      </c>
      <c r="O105" s="91">
        <v>10</v>
      </c>
      <c r="P105" s="155"/>
      <c r="Q105" s="155"/>
      <c r="R105" s="155"/>
      <c r="S105" s="155"/>
    </row>
    <row r="106" spans="1:19" ht="15.75">
      <c r="A106" s="91" t="s">
        <v>248</v>
      </c>
      <c r="B106" s="92" t="s">
        <v>55</v>
      </c>
      <c r="C106" s="100">
        <v>365</v>
      </c>
      <c r="D106" s="100">
        <f t="shared" ref="D106:F107" si="15">+C106</f>
        <v>365</v>
      </c>
      <c r="E106" s="100">
        <f t="shared" si="15"/>
        <v>365</v>
      </c>
      <c r="F106" s="100">
        <f t="shared" si="15"/>
        <v>365</v>
      </c>
      <c r="G106" s="100">
        <f>+E106</f>
        <v>365</v>
      </c>
      <c r="H106" s="100">
        <f t="shared" ref="H106:J107" si="16">+F106</f>
        <v>365</v>
      </c>
      <c r="I106" s="100">
        <f t="shared" si="16"/>
        <v>365</v>
      </c>
      <c r="J106" s="100">
        <f t="shared" si="16"/>
        <v>365</v>
      </c>
      <c r="K106" s="100">
        <f>+I106</f>
        <v>365</v>
      </c>
      <c r="L106" s="100">
        <f>+J106</f>
        <v>365</v>
      </c>
      <c r="M106" s="100">
        <f>+K106</f>
        <v>365</v>
      </c>
      <c r="N106" s="100">
        <f>+M106</f>
        <v>365</v>
      </c>
      <c r="O106" s="100">
        <f>+N106</f>
        <v>365</v>
      </c>
      <c r="P106" s="155"/>
      <c r="Q106" s="155"/>
      <c r="R106" s="155"/>
      <c r="S106" s="155"/>
    </row>
    <row r="107" spans="1:19" ht="15.75">
      <c r="A107" s="91" t="s">
        <v>249</v>
      </c>
      <c r="B107" s="92" t="s">
        <v>55</v>
      </c>
      <c r="C107" s="100">
        <v>330</v>
      </c>
      <c r="D107" s="100">
        <f t="shared" si="15"/>
        <v>330</v>
      </c>
      <c r="E107" s="100">
        <f t="shared" si="15"/>
        <v>330</v>
      </c>
      <c r="F107" s="100">
        <f t="shared" si="15"/>
        <v>330</v>
      </c>
      <c r="G107" s="100">
        <f>+E107</f>
        <v>330</v>
      </c>
      <c r="H107" s="100">
        <f t="shared" si="16"/>
        <v>330</v>
      </c>
      <c r="I107" s="100">
        <f t="shared" si="16"/>
        <v>330</v>
      </c>
      <c r="J107" s="100">
        <f t="shared" si="16"/>
        <v>330</v>
      </c>
      <c r="K107" s="100">
        <v>330</v>
      </c>
      <c r="L107" s="100">
        <v>330</v>
      </c>
      <c r="M107" s="100">
        <v>300</v>
      </c>
      <c r="N107" s="100">
        <v>330</v>
      </c>
      <c r="O107" s="100">
        <f>+N107</f>
        <v>330</v>
      </c>
      <c r="P107" s="155"/>
      <c r="Q107" s="155"/>
      <c r="R107" s="155"/>
      <c r="S107" s="155"/>
    </row>
    <row r="108" spans="1:19">
      <c r="A108" s="116"/>
      <c r="B108" s="116"/>
      <c r="C108" s="116"/>
      <c r="D108" s="116"/>
      <c r="E108" s="116"/>
      <c r="F108" s="116"/>
      <c r="G108" s="116"/>
      <c r="H108" s="116"/>
      <c r="I108" s="116"/>
      <c r="J108" s="116"/>
      <c r="K108" s="116"/>
      <c r="L108" s="116"/>
      <c r="M108" s="116"/>
      <c r="N108" s="116"/>
      <c r="O108" s="116"/>
      <c r="P108" s="155"/>
      <c r="Q108" s="155"/>
      <c r="R108" s="155"/>
      <c r="S108" s="155"/>
    </row>
    <row r="109" spans="1:19">
      <c r="C109" s="44"/>
    </row>
  </sheetData>
  <mergeCells count="10">
    <mergeCell ref="A4:A8"/>
    <mergeCell ref="B4:B8"/>
    <mergeCell ref="C4:O4"/>
    <mergeCell ref="C5:G5"/>
    <mergeCell ref="K5:M5"/>
    <mergeCell ref="N5:O5"/>
    <mergeCell ref="C6:F6"/>
    <mergeCell ref="G6:H6"/>
    <mergeCell ref="I6:J6"/>
    <mergeCell ref="K6:M6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3"/>
  <sheetViews>
    <sheetView workbookViewId="0">
      <selection activeCell="C64" sqref="C64:C65"/>
    </sheetView>
  </sheetViews>
  <sheetFormatPr defaultRowHeight="15.75"/>
  <cols>
    <col min="1" max="1" width="40.7109375" style="32" customWidth="1"/>
    <col min="2" max="2" width="12.42578125" style="32" customWidth="1"/>
    <col min="3" max="3" width="12.7109375" style="32" customWidth="1"/>
    <col min="4" max="4" width="14" style="32" customWidth="1"/>
    <col min="5" max="5" width="14.85546875" style="32" customWidth="1"/>
    <col min="6" max="6" width="15.5703125" style="32" customWidth="1"/>
    <col min="7" max="7" width="13.5703125" style="32" customWidth="1"/>
    <col min="8" max="8" width="17" style="32" customWidth="1"/>
    <col min="9" max="9" width="16" style="32" customWidth="1"/>
    <col min="10" max="10" width="17.42578125" style="32" customWidth="1"/>
    <col min="11" max="11" width="18.140625" style="32" customWidth="1"/>
    <col min="12" max="12" width="16.5703125" style="32" customWidth="1"/>
    <col min="13" max="13" width="12.7109375" style="32" customWidth="1"/>
    <col min="14" max="14" width="13.140625" style="32" customWidth="1"/>
    <col min="15" max="15" width="14" style="32" customWidth="1"/>
    <col min="16" max="16" width="9.140625" style="3"/>
  </cols>
  <sheetData>
    <row r="1" spans="1:15">
      <c r="A1" s="1" t="s">
        <v>75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16.5" thickBot="1">
      <c r="A2" s="4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5">
      <c r="A3" s="186" t="s">
        <v>1</v>
      </c>
      <c r="B3" s="186" t="s">
        <v>2</v>
      </c>
      <c r="C3" s="189" t="s">
        <v>3</v>
      </c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</row>
    <row r="4" spans="1:15">
      <c r="A4" s="187"/>
      <c r="B4" s="187"/>
      <c r="C4" s="190" t="s">
        <v>4</v>
      </c>
      <c r="D4" s="190"/>
      <c r="E4" s="190"/>
      <c r="F4" s="190"/>
      <c r="G4" s="190"/>
      <c r="H4" s="190"/>
      <c r="I4" s="190" t="s">
        <v>5</v>
      </c>
      <c r="J4" s="190"/>
      <c r="K4" s="190" t="s">
        <v>6</v>
      </c>
      <c r="L4" s="190"/>
      <c r="M4" s="190"/>
      <c r="N4" s="190" t="s">
        <v>7</v>
      </c>
      <c r="O4" s="190"/>
    </row>
    <row r="5" spans="1:15">
      <c r="A5" s="187"/>
      <c r="B5" s="187"/>
      <c r="C5" s="191" t="s">
        <v>8</v>
      </c>
      <c r="D5" s="191"/>
      <c r="E5" s="191"/>
      <c r="F5" s="191"/>
      <c r="G5" s="190" t="s">
        <v>9</v>
      </c>
      <c r="H5" s="190"/>
      <c r="I5" s="191" t="s">
        <v>10</v>
      </c>
      <c r="J5" s="191"/>
      <c r="K5" s="191" t="s">
        <v>11</v>
      </c>
      <c r="L5" s="191"/>
      <c r="M5" s="191"/>
      <c r="N5" s="6" t="s">
        <v>12</v>
      </c>
      <c r="O5" s="6" t="s">
        <v>13</v>
      </c>
    </row>
    <row r="6" spans="1:15">
      <c r="A6" s="187"/>
      <c r="B6" s="187"/>
      <c r="C6" s="7" t="s">
        <v>14</v>
      </c>
      <c r="D6" s="8" t="str">
        <f>+C7</f>
        <v>Iguaçu</v>
      </c>
      <c r="E6" s="7" t="str">
        <f>+D7</f>
        <v>Desvio Ribas</v>
      </c>
      <c r="F6" s="8" t="s">
        <v>78</v>
      </c>
      <c r="G6" s="8" t="str">
        <f>+E7</f>
        <v>Guarapuava</v>
      </c>
      <c r="H6" s="8" t="str">
        <f>+G7</f>
        <v>Cascavel</v>
      </c>
      <c r="I6" s="7" t="s">
        <v>79</v>
      </c>
      <c r="J6" s="8" t="s">
        <v>15</v>
      </c>
      <c r="K6" s="8" t="str">
        <f>+J7</f>
        <v>Front. Argentina</v>
      </c>
      <c r="L6" s="8" t="str">
        <f>+K7</f>
        <v>J.V. Gonzalez</v>
      </c>
      <c r="M6" s="7" t="str">
        <f>+L7</f>
        <v>Salta</v>
      </c>
      <c r="N6" s="8" t="str">
        <f>+M7</f>
        <v>Socompa</v>
      </c>
      <c r="O6" s="7" t="str">
        <f>+N7</f>
        <v>A Victoria</v>
      </c>
    </row>
    <row r="7" spans="1:15" ht="16.5" thickBot="1">
      <c r="A7" s="188"/>
      <c r="B7" s="188"/>
      <c r="C7" s="9" t="s">
        <v>80</v>
      </c>
      <c r="D7" s="9" t="s">
        <v>16</v>
      </c>
      <c r="E7" s="9" t="s">
        <v>17</v>
      </c>
      <c r="F7" s="9" t="s">
        <v>81</v>
      </c>
      <c r="G7" s="9" t="s">
        <v>18</v>
      </c>
      <c r="H7" s="9" t="s">
        <v>82</v>
      </c>
      <c r="I7" s="9" t="s">
        <v>19</v>
      </c>
      <c r="J7" s="9" t="s">
        <v>83</v>
      </c>
      <c r="K7" s="9" t="s">
        <v>84</v>
      </c>
      <c r="L7" s="9" t="s">
        <v>20</v>
      </c>
      <c r="M7" s="9" t="s">
        <v>21</v>
      </c>
      <c r="N7" s="9" t="s">
        <v>22</v>
      </c>
      <c r="O7" s="9" t="s">
        <v>23</v>
      </c>
    </row>
    <row r="8" spans="1:15">
      <c r="A8" s="10" t="s">
        <v>24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>
      <c r="A9" s="2" t="s">
        <v>25</v>
      </c>
      <c r="B9" s="11" t="s">
        <v>26</v>
      </c>
      <c r="C9" s="12" t="str">
        <f>+'Trens Atuais'!C11</f>
        <v>GM GT 22</v>
      </c>
      <c r="D9" s="12" t="str">
        <f>+'Trens Atuais'!D11</f>
        <v>GE C 30</v>
      </c>
      <c r="E9" s="12" t="str">
        <f>+'Trens Atuais'!E11</f>
        <v>GM G22 UB</v>
      </c>
      <c r="F9" s="12" t="str">
        <f>+'Trens Atuais'!F11</f>
        <v>GM G22 UB</v>
      </c>
      <c r="G9" s="12" t="str">
        <f>+'Trens Atuais'!G11</f>
        <v>GM G12</v>
      </c>
      <c r="H9" s="12" t="str">
        <f>+'Trens Atuais'!H11</f>
        <v>GE C 30</v>
      </c>
      <c r="I9" s="12" t="str">
        <f>+'Trens Atuais'!I11</f>
        <v>GE C 30</v>
      </c>
      <c r="J9" s="12" t="str">
        <f>+'Trens Atuais'!J11</f>
        <v>GE C 30</v>
      </c>
      <c r="K9" s="12" t="str">
        <f>+'Trens Atuais'!K11</f>
        <v>GM GT 22</v>
      </c>
      <c r="L9" s="12" t="str">
        <f>+'Trens Atuais'!L11</f>
        <v>GM GT 22</v>
      </c>
      <c r="M9" s="12" t="str">
        <f>+'Trens Atuais'!M11</f>
        <v>GM G22 UB</v>
      </c>
      <c r="N9" s="12" t="str">
        <f>+'Trens Atuais'!N11</f>
        <v>GM G22 UB</v>
      </c>
      <c r="O9" s="12" t="str">
        <f>+'Trens Atuais'!O11</f>
        <v>GM G22 UB</v>
      </c>
    </row>
    <row r="10" spans="1:15">
      <c r="A10" s="2" t="s">
        <v>27</v>
      </c>
      <c r="B10" s="11" t="s">
        <v>28</v>
      </c>
      <c r="C10" s="12" t="str">
        <f>+'Trens Atuais'!C20</f>
        <v xml:space="preserve">Gôndola </v>
      </c>
      <c r="D10" s="12" t="str">
        <f>+'Trens Atuais'!D20</f>
        <v xml:space="preserve">Gôndola </v>
      </c>
      <c r="E10" s="12" t="str">
        <f>+'Trens Atuais'!E20</f>
        <v xml:space="preserve">Gôndola </v>
      </c>
      <c r="F10" s="12" t="str">
        <f>+'Trens Atuais'!F20</f>
        <v xml:space="preserve">Gôndola </v>
      </c>
      <c r="G10" s="12" t="str">
        <f>+'Trens Atuais'!G20</f>
        <v xml:space="preserve">Gôndola </v>
      </c>
      <c r="H10" s="12" t="str">
        <f>+'Trens Atuais'!H20</f>
        <v xml:space="preserve">Gôndola </v>
      </c>
      <c r="I10" s="12" t="str">
        <f>+'Trens Atuais'!I20</f>
        <v xml:space="preserve">Gôndola </v>
      </c>
      <c r="J10" s="12" t="str">
        <f>+'Trens Atuais'!J20</f>
        <v xml:space="preserve">Gôndola </v>
      </c>
      <c r="K10" s="12" t="str">
        <f>+'Trens Atuais'!K20</f>
        <v xml:space="preserve">Gôndola </v>
      </c>
      <c r="L10" s="12" t="str">
        <f>+'Trens Atuais'!L20</f>
        <v xml:space="preserve">Gôndola </v>
      </c>
      <c r="M10" s="12" t="str">
        <f>+'Trens Atuais'!M20</f>
        <v xml:space="preserve">Gôndola </v>
      </c>
      <c r="N10" s="12" t="str">
        <f>+'Trens Atuais'!N20</f>
        <v xml:space="preserve">Gôndola </v>
      </c>
      <c r="O10" s="12" t="str">
        <f>+'Trens Atuais'!O20</f>
        <v xml:space="preserve">Gôndola </v>
      </c>
    </row>
    <row r="11" spans="1:15">
      <c r="A11" s="2" t="s">
        <v>29</v>
      </c>
      <c r="B11" s="11" t="s">
        <v>30</v>
      </c>
      <c r="C11" s="12">
        <f>+'Trens Atuais'!C31</f>
        <v>2</v>
      </c>
      <c r="D11" s="12">
        <f>+'Trens Atuais'!D31</f>
        <v>3</v>
      </c>
      <c r="E11" s="12">
        <f>+'Trens Atuais'!E31</f>
        <v>3</v>
      </c>
      <c r="F11" s="12">
        <f>+'Trens Atuais'!F31</f>
        <v>3</v>
      </c>
      <c r="G11" s="12">
        <f>+'Trens Atuais'!G31</f>
        <v>3</v>
      </c>
      <c r="H11" s="12">
        <f>+'Trens Atuais'!H31</f>
        <v>3</v>
      </c>
      <c r="I11" s="12">
        <f>+'Trens Atuais'!I31</f>
        <v>2</v>
      </c>
      <c r="J11" s="12">
        <f>+'Trens Atuais'!J31</f>
        <v>2</v>
      </c>
      <c r="K11" s="12">
        <f>+'Trens Atuais'!K31</f>
        <v>3</v>
      </c>
      <c r="L11" s="12">
        <f>+'Trens Atuais'!L31</f>
        <v>3</v>
      </c>
      <c r="M11" s="12">
        <f>+'Trens Atuais'!M31</f>
        <v>2</v>
      </c>
      <c r="N11" s="12">
        <f>+'Trens Atuais'!N31</f>
        <v>3</v>
      </c>
      <c r="O11" s="12">
        <f>+'Trens Atuais'!O31</f>
        <v>3</v>
      </c>
    </row>
    <row r="12" spans="1:15">
      <c r="A12" s="2" t="s">
        <v>31</v>
      </c>
      <c r="B12" s="11" t="s">
        <v>32</v>
      </c>
      <c r="C12" s="12">
        <f>+'Trens Atuais'!C32</f>
        <v>45</v>
      </c>
      <c r="D12" s="12">
        <f>+'Trens Atuais'!D32</f>
        <v>84</v>
      </c>
      <c r="E12" s="12">
        <f>+'Trens Atuais'!E32</f>
        <v>40</v>
      </c>
      <c r="F12" s="12">
        <f>+'Trens Atuais'!F32</f>
        <v>28</v>
      </c>
      <c r="G12" s="12">
        <f>+'Trens Atuais'!G32</f>
        <v>33</v>
      </c>
      <c r="H12" s="12">
        <f>+'Trens Atuais'!H32</f>
        <v>65</v>
      </c>
      <c r="I12" s="12">
        <f>+'Trens Atuais'!I32</f>
        <v>65</v>
      </c>
      <c r="J12" s="12">
        <f>+'Trens Atuais'!J32</f>
        <v>65</v>
      </c>
      <c r="K12" s="12">
        <f>+'Trens Atuais'!K32</f>
        <v>45</v>
      </c>
      <c r="L12" s="12">
        <f>+'Trens Atuais'!L32</f>
        <v>45</v>
      </c>
      <c r="M12" s="12">
        <f>+'Trens Atuais'!M32</f>
        <v>12</v>
      </c>
      <c r="N12" s="12">
        <f>+'Trens Atuais'!N32</f>
        <v>24</v>
      </c>
      <c r="O12" s="12">
        <f>+'Trens Atuais'!O32</f>
        <v>24</v>
      </c>
    </row>
    <row r="13" spans="1:15">
      <c r="A13" s="2" t="s">
        <v>33</v>
      </c>
      <c r="B13" s="11" t="s">
        <v>34</v>
      </c>
      <c r="C13" s="13">
        <f>+'Trens Atuais'!C33</f>
        <v>2700</v>
      </c>
      <c r="D13" s="13">
        <f>+'Trens Atuais'!D33</f>
        <v>5040</v>
      </c>
      <c r="E13" s="13">
        <f>+'Trens Atuais'!E33</f>
        <v>2400</v>
      </c>
      <c r="F13" s="13">
        <f>+'Trens Atuais'!F33</f>
        <v>1680</v>
      </c>
      <c r="G13" s="13">
        <f>+'Trens Atuais'!G33</f>
        <v>1980</v>
      </c>
      <c r="H13" s="13">
        <f>+'Trens Atuais'!H33</f>
        <v>3900</v>
      </c>
      <c r="I13" s="13">
        <f>+'Trens Atuais'!I33</f>
        <v>3900</v>
      </c>
      <c r="J13" s="13">
        <f>+'Trens Atuais'!J33</f>
        <v>3900</v>
      </c>
      <c r="K13" s="13">
        <f>+'Trens Atuais'!K33</f>
        <v>2025</v>
      </c>
      <c r="L13" s="13">
        <f>+'Trens Atuais'!L33</f>
        <v>2025</v>
      </c>
      <c r="M13" s="13">
        <f>+'Trens Atuais'!M33</f>
        <v>540</v>
      </c>
      <c r="N13" s="13">
        <f>+'Trens Atuais'!N33</f>
        <v>1080</v>
      </c>
      <c r="O13" s="13">
        <f>+'Trens Atuais'!O33</f>
        <v>1080</v>
      </c>
    </row>
    <row r="14" spans="1:15">
      <c r="A14" s="2" t="s">
        <v>35</v>
      </c>
      <c r="B14" s="11" t="s">
        <v>36</v>
      </c>
      <c r="C14" s="13">
        <f>+'Trens Atuais'!C34</f>
        <v>3600</v>
      </c>
      <c r="D14" s="13">
        <f>+'Trens Atuais'!D34</f>
        <v>6720</v>
      </c>
      <c r="E14" s="13">
        <f>+'Trens Atuais'!E34</f>
        <v>3200</v>
      </c>
      <c r="F14" s="13">
        <f>+'Trens Atuais'!F34</f>
        <v>2240</v>
      </c>
      <c r="G14" s="13">
        <f>+'Trens Atuais'!G34</f>
        <v>2640</v>
      </c>
      <c r="H14" s="13">
        <f>+'Trens Atuais'!H34</f>
        <v>5200</v>
      </c>
      <c r="I14" s="13">
        <f>+'Trens Atuais'!I34</f>
        <v>5200</v>
      </c>
      <c r="J14" s="13">
        <f>+'Trens Atuais'!J34</f>
        <v>5200</v>
      </c>
      <c r="K14" s="13">
        <f>+'Trens Atuais'!K34</f>
        <v>2925</v>
      </c>
      <c r="L14" s="13">
        <f>+'Trens Atuais'!L34</f>
        <v>2925</v>
      </c>
      <c r="M14" s="13">
        <f>+'Trens Atuais'!M34</f>
        <v>780</v>
      </c>
      <c r="N14" s="13">
        <f>+'Trens Atuais'!N34</f>
        <v>1560</v>
      </c>
      <c r="O14" s="13">
        <f>+'Trens Atuais'!O34</f>
        <v>1560</v>
      </c>
    </row>
    <row r="15" spans="1:15">
      <c r="A15" s="2" t="s">
        <v>37</v>
      </c>
      <c r="B15" s="11" t="s">
        <v>38</v>
      </c>
      <c r="C15" s="13">
        <f>+Frotas!C13</f>
        <v>1310878.5900000001</v>
      </c>
      <c r="D15" s="13">
        <f>+Frotas!D13</f>
        <v>1374340.5</v>
      </c>
      <c r="E15" s="13">
        <f>+Frotas!E13</f>
        <v>368657.8</v>
      </c>
      <c r="F15" s="13">
        <f>+Frotas!F13</f>
        <v>588093.75</v>
      </c>
      <c r="G15" s="13">
        <f>+Frotas!G13</f>
        <v>322400</v>
      </c>
      <c r="H15" s="13">
        <f>+Frotas!H13</f>
        <v>0</v>
      </c>
      <c r="I15" s="13">
        <f>+Frotas!I13</f>
        <v>0</v>
      </c>
      <c r="J15" s="13">
        <f>+Frotas!J13</f>
        <v>0</v>
      </c>
      <c r="K15" s="13">
        <f>+Frotas!K13</f>
        <v>267417.48</v>
      </c>
      <c r="L15" s="13">
        <f>+Frotas!L13</f>
        <v>71508.799999999988</v>
      </c>
      <c r="M15" s="13">
        <f>+Frotas!M13</f>
        <v>0</v>
      </c>
      <c r="N15" s="13">
        <f>+Frotas!N13</f>
        <v>217200</v>
      </c>
      <c r="O15" s="13">
        <f>+Frotas!O13</f>
        <v>238500</v>
      </c>
    </row>
    <row r="16" spans="1:15">
      <c r="A16" s="15" t="s">
        <v>39</v>
      </c>
      <c r="B16" s="16" t="s">
        <v>40</v>
      </c>
      <c r="C16" s="17">
        <f>+'Trens Atuais'!C35</f>
        <v>764</v>
      </c>
      <c r="D16" s="17">
        <f>+'Trens Atuais'!D35</f>
        <v>1419</v>
      </c>
      <c r="E16" s="17">
        <f>+'Trens Atuais'!E35</f>
        <v>706</v>
      </c>
      <c r="F16" s="17">
        <f>+'Trens Atuais'!F35</f>
        <v>514</v>
      </c>
      <c r="G16" s="17">
        <f>+'Trens Atuais'!G35</f>
        <v>603</v>
      </c>
      <c r="H16" s="17">
        <f>+'Trens Atuais'!H35</f>
        <v>1115</v>
      </c>
      <c r="I16" s="17">
        <f>+'Trens Atuais'!I35</f>
        <v>1090</v>
      </c>
      <c r="J16" s="17">
        <f>+'Trens Atuais'!J35</f>
        <v>1090</v>
      </c>
      <c r="K16" s="17">
        <f>+'Trens Atuais'!K35</f>
        <v>741</v>
      </c>
      <c r="L16" s="17">
        <f>+'Trens Atuais'!L35</f>
        <v>741</v>
      </c>
      <c r="M16" s="17">
        <f>+'Trens Atuais'!M35</f>
        <v>224</v>
      </c>
      <c r="N16" s="17">
        <f>+'Trens Atuais'!N35</f>
        <v>426</v>
      </c>
      <c r="O16" s="17">
        <f>+'Trens Atuais'!O35</f>
        <v>426</v>
      </c>
    </row>
    <row r="17" spans="1:15">
      <c r="A17" s="10" t="s">
        <v>41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1:15">
      <c r="A18" s="2" t="s">
        <v>42</v>
      </c>
      <c r="B18" s="18" t="s">
        <v>40</v>
      </c>
      <c r="C18" s="19">
        <f t="shared" ref="C18:O18" si="0">+C16</f>
        <v>764</v>
      </c>
      <c r="D18" s="19">
        <f t="shared" si="0"/>
        <v>1419</v>
      </c>
      <c r="E18" s="19">
        <f t="shared" si="0"/>
        <v>706</v>
      </c>
      <c r="F18" s="19">
        <f t="shared" si="0"/>
        <v>514</v>
      </c>
      <c r="G18" s="19">
        <f t="shared" si="0"/>
        <v>603</v>
      </c>
      <c r="H18" s="19">
        <f t="shared" si="0"/>
        <v>1115</v>
      </c>
      <c r="I18" s="19">
        <f t="shared" si="0"/>
        <v>1090</v>
      </c>
      <c r="J18" s="19">
        <f t="shared" si="0"/>
        <v>1090</v>
      </c>
      <c r="K18" s="19">
        <f t="shared" si="0"/>
        <v>741</v>
      </c>
      <c r="L18" s="19">
        <f t="shared" si="0"/>
        <v>741</v>
      </c>
      <c r="M18" s="19">
        <f t="shared" si="0"/>
        <v>224</v>
      </c>
      <c r="N18" s="19">
        <f t="shared" si="0"/>
        <v>426</v>
      </c>
      <c r="O18" s="19">
        <f t="shared" si="0"/>
        <v>426</v>
      </c>
    </row>
    <row r="19" spans="1:15">
      <c r="A19" s="2" t="s">
        <v>43</v>
      </c>
      <c r="B19" s="18" t="s">
        <v>40</v>
      </c>
      <c r="C19" s="20">
        <f>Premissas!C97*2</f>
        <v>131.34</v>
      </c>
      <c r="D19" s="20">
        <f>[5]Premissas!D109*2</f>
        <v>131.34</v>
      </c>
      <c r="E19" s="20">
        <f>[5]Premissas!E109*2</f>
        <v>131.34</v>
      </c>
      <c r="F19" s="20">
        <f>[5]Premissas!F109*2</f>
        <v>131.34</v>
      </c>
      <c r="G19" s="20">
        <f>[5]Premissas!G109*2</f>
        <v>131.34</v>
      </c>
      <c r="H19" s="20">
        <f>[5]Premissas!H109*2</f>
        <v>131.34</v>
      </c>
      <c r="I19" s="20">
        <f>[5]Premissas!I109*2</f>
        <v>131.34</v>
      </c>
      <c r="J19" s="20">
        <f>[5]Premissas!J109*2</f>
        <v>131.34</v>
      </c>
      <c r="K19" s="20">
        <f>[5]Premissas!K109*2</f>
        <v>131.34</v>
      </c>
      <c r="L19" s="20">
        <f>[5]Premissas!L109*2</f>
        <v>131.34</v>
      </c>
      <c r="M19" s="20">
        <f>[5]Premissas!M109*2</f>
        <v>131.34</v>
      </c>
      <c r="N19" s="20">
        <f>[5]Premissas!N109*2</f>
        <v>131.34</v>
      </c>
      <c r="O19" s="20">
        <f>[5]Premissas!O109*2</f>
        <v>131.34</v>
      </c>
    </row>
    <row r="20" spans="1:15">
      <c r="A20" s="21" t="s">
        <v>44</v>
      </c>
      <c r="B20" s="18" t="s">
        <v>40</v>
      </c>
      <c r="C20" s="22">
        <f>Premissas!C98</f>
        <v>80</v>
      </c>
      <c r="D20" s="22">
        <f>Premissas!D98</f>
        <v>80</v>
      </c>
      <c r="E20" s="22">
        <f>Premissas!E98</f>
        <v>80</v>
      </c>
      <c r="F20" s="22">
        <f>Premissas!F98</f>
        <v>80</v>
      </c>
      <c r="G20" s="22">
        <f>Premissas!G98</f>
        <v>80</v>
      </c>
      <c r="H20" s="22">
        <f>Premissas!H98</f>
        <v>80</v>
      </c>
      <c r="I20" s="22">
        <f>Premissas!I98</f>
        <v>80</v>
      </c>
      <c r="J20" s="22">
        <f>Premissas!J98</f>
        <v>80</v>
      </c>
      <c r="K20" s="22">
        <f>Premissas!K98</f>
        <v>80</v>
      </c>
      <c r="L20" s="22">
        <f>Premissas!L98</f>
        <v>80</v>
      </c>
      <c r="M20" s="22">
        <f>Premissas!M98</f>
        <v>80</v>
      </c>
      <c r="N20" s="22">
        <f>Premissas!N98</f>
        <v>80</v>
      </c>
      <c r="O20" s="22">
        <f>Premissas!O98</f>
        <v>80</v>
      </c>
    </row>
    <row r="21" spans="1:15">
      <c r="A21" s="15" t="s">
        <v>45</v>
      </c>
      <c r="B21" s="16" t="s">
        <v>40</v>
      </c>
      <c r="C21" s="23">
        <f t="shared" ref="C21" si="1">SUM(C18:C20)</f>
        <v>975.34</v>
      </c>
      <c r="D21" s="23">
        <f t="shared" ref="D21:O21" si="2">SUM(D18:D20)</f>
        <v>1630.34</v>
      </c>
      <c r="E21" s="23">
        <f t="shared" si="2"/>
        <v>917.34</v>
      </c>
      <c r="F21" s="23">
        <f t="shared" si="2"/>
        <v>725.34</v>
      </c>
      <c r="G21" s="23">
        <f t="shared" si="2"/>
        <v>814.34</v>
      </c>
      <c r="H21" s="23">
        <f t="shared" si="2"/>
        <v>1326.34</v>
      </c>
      <c r="I21" s="23">
        <f t="shared" si="2"/>
        <v>1301.3399999999999</v>
      </c>
      <c r="J21" s="23">
        <f t="shared" si="2"/>
        <v>1301.3399999999999</v>
      </c>
      <c r="K21" s="23">
        <f t="shared" si="2"/>
        <v>952.34</v>
      </c>
      <c r="L21" s="23">
        <f t="shared" si="2"/>
        <v>952.34</v>
      </c>
      <c r="M21" s="23">
        <f t="shared" si="2"/>
        <v>435.34000000000003</v>
      </c>
      <c r="N21" s="23">
        <f t="shared" si="2"/>
        <v>637.34</v>
      </c>
      <c r="O21" s="23">
        <f t="shared" si="2"/>
        <v>637.34</v>
      </c>
    </row>
    <row r="22" spans="1:15">
      <c r="A22" s="10" t="s">
        <v>46</v>
      </c>
      <c r="B22" s="1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>
      <c r="A23" s="2" t="s">
        <v>47</v>
      </c>
      <c r="B23" s="11" t="s">
        <v>48</v>
      </c>
      <c r="C23" s="2">
        <f>Premissas!C75</f>
        <v>60</v>
      </c>
      <c r="D23" s="2">
        <f>Premissas!D75</f>
        <v>60</v>
      </c>
      <c r="E23" s="2">
        <f>Premissas!E75</f>
        <v>60</v>
      </c>
      <c r="F23" s="2">
        <f>Premissas!F75</f>
        <v>60</v>
      </c>
      <c r="G23" s="2">
        <f>Premissas!G75</f>
        <v>60</v>
      </c>
      <c r="H23" s="2">
        <f>Premissas!H75</f>
        <v>60</v>
      </c>
      <c r="I23" s="2">
        <f>Premissas!I75</f>
        <v>60</v>
      </c>
      <c r="J23" s="2">
        <f>Premissas!J75</f>
        <v>60</v>
      </c>
      <c r="K23" s="2">
        <f>Premissas!K75</f>
        <v>60</v>
      </c>
      <c r="L23" s="2">
        <f>Premissas!L75</f>
        <v>60</v>
      </c>
      <c r="M23" s="2">
        <f>Premissas!M75</f>
        <v>60</v>
      </c>
      <c r="N23" s="2">
        <f>Premissas!N75</f>
        <v>60</v>
      </c>
      <c r="O23" s="2">
        <f>Premissas!O75</f>
        <v>60</v>
      </c>
    </row>
    <row r="24" spans="1:15">
      <c r="A24" s="2" t="s">
        <v>49</v>
      </c>
      <c r="B24" s="11" t="s">
        <v>48</v>
      </c>
      <c r="C24" s="2">
        <f>Premissas!C79</f>
        <v>31</v>
      </c>
      <c r="D24" s="2">
        <f>Premissas!D79</f>
        <v>31</v>
      </c>
      <c r="E24" s="2">
        <f>Premissas!E79</f>
        <v>31</v>
      </c>
      <c r="F24" s="2">
        <f>Premissas!F79</f>
        <v>31</v>
      </c>
      <c r="G24" s="2">
        <f>Premissas!G79</f>
        <v>31</v>
      </c>
      <c r="H24" s="2">
        <f>Premissas!H79</f>
        <v>31</v>
      </c>
      <c r="I24" s="2">
        <f>Premissas!I79</f>
        <v>31</v>
      </c>
      <c r="J24" s="2">
        <f>Premissas!J79</f>
        <v>31</v>
      </c>
      <c r="K24" s="2">
        <f>Premissas!K79</f>
        <v>31</v>
      </c>
      <c r="L24" s="2">
        <f>Premissas!L79</f>
        <v>31</v>
      </c>
      <c r="M24" s="2">
        <f>Premissas!M79</f>
        <v>31</v>
      </c>
      <c r="N24" s="2">
        <f>Premissas!N79</f>
        <v>26</v>
      </c>
      <c r="O24" s="2">
        <f>Premissas!O79</f>
        <v>26</v>
      </c>
    </row>
    <row r="25" spans="1:15">
      <c r="A25" s="2" t="s">
        <v>50</v>
      </c>
      <c r="B25" s="11" t="s">
        <v>51</v>
      </c>
      <c r="C25" s="19">
        <f>Frotas!C12*2</f>
        <v>231.42</v>
      </c>
      <c r="D25" s="19">
        <f>Frotas!D12*2</f>
        <v>211.43700000000001</v>
      </c>
      <c r="E25" s="19">
        <f>Frotas!E12*2</f>
        <v>526.654</v>
      </c>
      <c r="F25" s="19">
        <f>Frotas!F12*2</f>
        <v>470.47499999999997</v>
      </c>
      <c r="G25" s="19">
        <f>Frotas!G12*2</f>
        <v>496</v>
      </c>
      <c r="H25" s="19">
        <f>Frotas!H12*2</f>
        <v>347.2</v>
      </c>
      <c r="I25" s="19">
        <f>Frotas!I12*2</f>
        <v>519.48</v>
      </c>
      <c r="J25" s="19">
        <f>Frotas!J12*2</f>
        <v>583.29000000000008</v>
      </c>
      <c r="K25" s="19">
        <f>Frotas!K12*2</f>
        <v>1114.2394999999999</v>
      </c>
      <c r="L25" s="19">
        <f>Frotas!L12*2</f>
        <v>446.92999999999995</v>
      </c>
      <c r="M25" s="19">
        <f>Frotas!M12*2</f>
        <v>1142</v>
      </c>
      <c r="N25" s="19">
        <f>Frotas!N12*2</f>
        <v>362</v>
      </c>
      <c r="O25" s="19">
        <f>Frotas!O12*2</f>
        <v>238.5</v>
      </c>
    </row>
    <row r="26" spans="1:15">
      <c r="A26" s="2" t="s">
        <v>52</v>
      </c>
      <c r="B26" s="11" t="s">
        <v>53</v>
      </c>
      <c r="C26" s="19">
        <f t="shared" ref="C26:O26" si="3">C25/C24</f>
        <v>7.4651612903225804</v>
      </c>
      <c r="D26" s="19">
        <f t="shared" si="3"/>
        <v>6.8205483870967747</v>
      </c>
      <c r="E26" s="19">
        <f t="shared" si="3"/>
        <v>16.98883870967742</v>
      </c>
      <c r="F26" s="19">
        <f t="shared" si="3"/>
        <v>15.176612903225806</v>
      </c>
      <c r="G26" s="19">
        <f t="shared" si="3"/>
        <v>16</v>
      </c>
      <c r="H26" s="19">
        <f t="shared" si="3"/>
        <v>11.2</v>
      </c>
      <c r="I26" s="19">
        <f t="shared" si="3"/>
        <v>16.75741935483871</v>
      </c>
      <c r="J26" s="19">
        <f t="shared" si="3"/>
        <v>18.815806451612907</v>
      </c>
      <c r="K26" s="19">
        <f t="shared" si="3"/>
        <v>35.943209677419354</v>
      </c>
      <c r="L26" s="19">
        <f t="shared" si="3"/>
        <v>14.417096774193547</v>
      </c>
      <c r="M26" s="19">
        <f t="shared" si="3"/>
        <v>36.838709677419352</v>
      </c>
      <c r="N26" s="19">
        <f t="shared" si="3"/>
        <v>13.923076923076923</v>
      </c>
      <c r="O26" s="19">
        <f t="shared" si="3"/>
        <v>9.1730769230769234</v>
      </c>
    </row>
    <row r="27" spans="1:15">
      <c r="A27" s="24" t="s">
        <v>54</v>
      </c>
      <c r="B27" s="25" t="s">
        <v>55</v>
      </c>
      <c r="C27" s="26">
        <f t="shared" ref="C27:O27" si="4">+C26/24</f>
        <v>0.31104838709677418</v>
      </c>
      <c r="D27" s="26">
        <f t="shared" si="4"/>
        <v>0.28418951612903226</v>
      </c>
      <c r="E27" s="26">
        <f t="shared" si="4"/>
        <v>0.70786827956989251</v>
      </c>
      <c r="F27" s="26">
        <f t="shared" si="4"/>
        <v>0.6323588709677419</v>
      </c>
      <c r="G27" s="26">
        <f t="shared" si="4"/>
        <v>0.66666666666666663</v>
      </c>
      <c r="H27" s="26">
        <f t="shared" si="4"/>
        <v>0.46666666666666662</v>
      </c>
      <c r="I27" s="26">
        <f t="shared" si="4"/>
        <v>0.69822580645161292</v>
      </c>
      <c r="J27" s="26">
        <f t="shared" si="4"/>
        <v>0.78399193548387114</v>
      </c>
      <c r="K27" s="26">
        <f t="shared" si="4"/>
        <v>1.4976337365591397</v>
      </c>
      <c r="L27" s="26">
        <f t="shared" si="4"/>
        <v>0.60071236559139785</v>
      </c>
      <c r="M27" s="26">
        <f t="shared" si="4"/>
        <v>1.5349462365591398</v>
      </c>
      <c r="N27" s="26">
        <f t="shared" si="4"/>
        <v>0.58012820512820518</v>
      </c>
      <c r="O27" s="26">
        <f t="shared" si="4"/>
        <v>0.38221153846153849</v>
      </c>
    </row>
    <row r="28" spans="1:15">
      <c r="A28" s="24" t="s">
        <v>56</v>
      </c>
      <c r="B28" s="25" t="s">
        <v>55</v>
      </c>
      <c r="C28" s="27">
        <f>2*Premissas!C87/24</f>
        <v>0.58333333333333337</v>
      </c>
      <c r="D28" s="27">
        <f>2*Premissas!D87/24</f>
        <v>0.58333333333333337</v>
      </c>
      <c r="E28" s="27">
        <f>2*Premissas!E87/24</f>
        <v>0.33333333333333331</v>
      </c>
      <c r="F28" s="27">
        <f>2*Premissas!F87/24</f>
        <v>0.58333333333333337</v>
      </c>
      <c r="G28" s="27">
        <f>2*Premissas!G87/24</f>
        <v>0.625</v>
      </c>
      <c r="H28" s="27">
        <f>2*Premissas!H87/24</f>
        <v>0.58333333333333337</v>
      </c>
      <c r="I28" s="27">
        <f>2*Premissas!I87/24</f>
        <v>0.625</v>
      </c>
      <c r="J28" s="27">
        <f>2*Premissas!J87/24</f>
        <v>0.58333333333333337</v>
      </c>
      <c r="K28" s="27">
        <f>2*Premissas!K87/24</f>
        <v>0.75</v>
      </c>
      <c r="L28" s="27">
        <f>2*Premissas!L87/24</f>
        <v>8.3333333333333329E-2</v>
      </c>
      <c r="M28" s="27">
        <f>2*Premissas!M87/24</f>
        <v>0.75</v>
      </c>
      <c r="N28" s="27">
        <f>2*Premissas!N87/24</f>
        <v>8.3333333333333329E-2</v>
      </c>
      <c r="O28" s="27">
        <f>2*Premissas!O87/24</f>
        <v>0.83333333333333337</v>
      </c>
    </row>
    <row r="29" spans="1:15">
      <c r="A29" s="2" t="s">
        <v>57</v>
      </c>
      <c r="B29" s="11" t="s">
        <v>55</v>
      </c>
      <c r="C29" s="20">
        <f>Premissas!C83/24*2</f>
        <v>4.1666666666666664E-2</v>
      </c>
      <c r="D29" s="20">
        <f>Premissas!D83/24*2</f>
        <v>4.1666666666666664E-2</v>
      </c>
      <c r="E29" s="20">
        <f>Premissas!E83/24*2</f>
        <v>4.1666666666666664E-2</v>
      </c>
      <c r="F29" s="20">
        <f>Premissas!F83/24*2</f>
        <v>4.1666666666666664E-2</v>
      </c>
      <c r="G29" s="20">
        <f>Premissas!G83/24*2</f>
        <v>4.1666666666666664E-2</v>
      </c>
      <c r="H29" s="20">
        <f>Premissas!H83/24*2</f>
        <v>4.1666666666666664E-2</v>
      </c>
      <c r="I29" s="20">
        <f>Premissas!I83/24*2</f>
        <v>4.1666666666666664E-2</v>
      </c>
      <c r="J29" s="20">
        <f>Premissas!J83/24*2</f>
        <v>4.1666666666666664E-2</v>
      </c>
      <c r="K29" s="20">
        <f>Premissas!K83/24*2</f>
        <v>4.1666666666666664E-2</v>
      </c>
      <c r="L29" s="20">
        <f>Premissas!L83/24*2</f>
        <v>4.1666666666666664E-2</v>
      </c>
      <c r="M29" s="20">
        <f>Premissas!M83/24*2</f>
        <v>4.1666666666666664E-2</v>
      </c>
      <c r="N29" s="20">
        <f>Premissas!N83/24*2</f>
        <v>4.1666666666666664E-2</v>
      </c>
      <c r="O29" s="20">
        <f>Premissas!O83/24*2</f>
        <v>4.1666666666666664E-2</v>
      </c>
    </row>
    <row r="30" spans="1:15">
      <c r="A30" s="2" t="s">
        <v>58</v>
      </c>
      <c r="B30" s="11" t="s">
        <v>55</v>
      </c>
      <c r="C30" s="20">
        <f>Premissas!C84/24*2</f>
        <v>0.5</v>
      </c>
      <c r="D30" s="20">
        <f>Premissas!D84/24*2</f>
        <v>0.5</v>
      </c>
      <c r="E30" s="20">
        <f>Premissas!E84/24*2</f>
        <v>0</v>
      </c>
      <c r="F30" s="20">
        <f>Premissas!F84/24*2</f>
        <v>0.5</v>
      </c>
      <c r="G30" s="20">
        <f>Premissas!G84/24*2</f>
        <v>0.5</v>
      </c>
      <c r="H30" s="20">
        <f>Premissas!H84/24*2</f>
        <v>0.5</v>
      </c>
      <c r="I30" s="20">
        <f>Premissas!I84/24*2</f>
        <v>0.5</v>
      </c>
      <c r="J30" s="20">
        <f>Premissas!J84/24*2</f>
        <v>0.5</v>
      </c>
      <c r="K30" s="20">
        <f>Premissas!K84/24*2</f>
        <v>0.5</v>
      </c>
      <c r="L30" s="20">
        <f>Premissas!L84/24*2</f>
        <v>0</v>
      </c>
      <c r="M30" s="20">
        <f>Premissas!M84/24*2</f>
        <v>0.5</v>
      </c>
      <c r="N30" s="20">
        <f>Premissas!N84/24*2</f>
        <v>0</v>
      </c>
      <c r="O30" s="20">
        <f>Premissas!O84/24*2</f>
        <v>0.5</v>
      </c>
    </row>
    <row r="31" spans="1:15">
      <c r="A31" s="2" t="s">
        <v>59</v>
      </c>
      <c r="B31" s="11" t="s">
        <v>55</v>
      </c>
      <c r="C31" s="20">
        <f>Premissas!C85/24*2</f>
        <v>0</v>
      </c>
      <c r="D31" s="20">
        <f>Premissas!D85/24*2</f>
        <v>0</v>
      </c>
      <c r="E31" s="20">
        <f>Premissas!E85/24*2</f>
        <v>0.25</v>
      </c>
      <c r="F31" s="20">
        <f>Premissas!F85/24*2</f>
        <v>0</v>
      </c>
      <c r="G31" s="20">
        <f>Premissas!G85/24*2</f>
        <v>4.1666666666666664E-2</v>
      </c>
      <c r="H31" s="20">
        <f>Premissas!H85/24*2</f>
        <v>0</v>
      </c>
      <c r="I31" s="20">
        <f>Premissas!I85/24*2</f>
        <v>4.1666666666666664E-2</v>
      </c>
      <c r="J31" s="20">
        <f>Premissas!J85/24*2</f>
        <v>0</v>
      </c>
      <c r="K31" s="20">
        <f>Premissas!K85/24*2</f>
        <v>0.16666666666666666</v>
      </c>
      <c r="L31" s="20">
        <f>Premissas!L85/24*2</f>
        <v>0</v>
      </c>
      <c r="M31" s="20">
        <f>Premissas!M85/24*2</f>
        <v>0.16666666666666666</v>
      </c>
      <c r="N31" s="20">
        <f>Premissas!N85/24*2</f>
        <v>0</v>
      </c>
      <c r="O31" s="20">
        <f>Premissas!O85/24*2</f>
        <v>0.25</v>
      </c>
    </row>
    <row r="32" spans="1:15">
      <c r="A32" s="15" t="s">
        <v>60</v>
      </c>
      <c r="B32" s="16" t="s">
        <v>55</v>
      </c>
      <c r="C32" s="28">
        <f>Premissas!C86/24*2</f>
        <v>4.1666666666666664E-2</v>
      </c>
      <c r="D32" s="28">
        <f>Premissas!D86/24*2</f>
        <v>4.1666666666666664E-2</v>
      </c>
      <c r="E32" s="28">
        <f>Premissas!E86/24*2</f>
        <v>4.1666666666666664E-2</v>
      </c>
      <c r="F32" s="28">
        <f>Premissas!F86/24*2</f>
        <v>4.1666666666666664E-2</v>
      </c>
      <c r="G32" s="28">
        <f>Premissas!G86/24*2</f>
        <v>4.1666666666666664E-2</v>
      </c>
      <c r="H32" s="28">
        <f>Premissas!H86/24*2</f>
        <v>4.1666666666666664E-2</v>
      </c>
      <c r="I32" s="28">
        <f>Premissas!I86/24*2</f>
        <v>4.1666666666666664E-2</v>
      </c>
      <c r="J32" s="28">
        <f>Premissas!J86/24*2</f>
        <v>4.1666666666666664E-2</v>
      </c>
      <c r="K32" s="28">
        <f>Premissas!K86/24*2</f>
        <v>4.1666666666666664E-2</v>
      </c>
      <c r="L32" s="28">
        <f>Premissas!L86/24*2</f>
        <v>4.1666666666666664E-2</v>
      </c>
      <c r="M32" s="28">
        <f>Premissas!M86/24*2</f>
        <v>4.1666666666666664E-2</v>
      </c>
      <c r="N32" s="28">
        <f>Premissas!N86/24*2</f>
        <v>4.1666666666666664E-2</v>
      </c>
      <c r="O32" s="28">
        <f>Premissas!O86/24*2</f>
        <v>4.1666666666666664E-2</v>
      </c>
    </row>
    <row r="33" spans="1:15" ht="16.5" thickBot="1">
      <c r="A33" s="5" t="s">
        <v>61</v>
      </c>
      <c r="B33" s="29" t="s">
        <v>55</v>
      </c>
      <c r="C33" s="30">
        <f t="shared" ref="C33:O33" si="5">+C28+C27</f>
        <v>0.89438172043010755</v>
      </c>
      <c r="D33" s="30">
        <f t="shared" si="5"/>
        <v>0.86752284946236569</v>
      </c>
      <c r="E33" s="30">
        <f t="shared" si="5"/>
        <v>1.0412016129032258</v>
      </c>
      <c r="F33" s="30">
        <f t="shared" si="5"/>
        <v>1.2156922043010754</v>
      </c>
      <c r="G33" s="30">
        <f t="shared" si="5"/>
        <v>1.2916666666666665</v>
      </c>
      <c r="H33" s="30">
        <f t="shared" si="5"/>
        <v>1.05</v>
      </c>
      <c r="I33" s="30">
        <f t="shared" si="5"/>
        <v>1.3232258064516129</v>
      </c>
      <c r="J33" s="30">
        <f t="shared" si="5"/>
        <v>1.3673252688172046</v>
      </c>
      <c r="K33" s="30">
        <f t="shared" si="5"/>
        <v>2.2476337365591395</v>
      </c>
      <c r="L33" s="30">
        <f t="shared" si="5"/>
        <v>0.68404569892473122</v>
      </c>
      <c r="M33" s="30">
        <f t="shared" si="5"/>
        <v>2.28494623655914</v>
      </c>
      <c r="N33" s="30">
        <f t="shared" si="5"/>
        <v>0.66346153846153855</v>
      </c>
      <c r="O33" s="30">
        <f t="shared" si="5"/>
        <v>1.2155448717948718</v>
      </c>
    </row>
    <row r="34" spans="1:15">
      <c r="A34" s="21" t="s">
        <v>62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  <row r="35" spans="1:15">
      <c r="A35" s="21" t="s">
        <v>63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</row>
    <row r="36" spans="1:15">
      <c r="A36" s="31" t="s">
        <v>64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</row>
    <row r="37" spans="1:15">
      <c r="C37" s="14"/>
    </row>
    <row r="39" spans="1:15">
      <c r="A39" s="1" t="s">
        <v>76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</row>
    <row r="40" spans="1:15" ht="16.5" thickBot="1">
      <c r="A40" s="4" t="s">
        <v>65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</row>
    <row r="41" spans="1:15">
      <c r="A41" s="186" t="s">
        <v>1</v>
      </c>
      <c r="B41" s="186" t="s">
        <v>2</v>
      </c>
      <c r="C41" s="189" t="s">
        <v>3</v>
      </c>
      <c r="D41" s="189"/>
      <c r="E41" s="189"/>
      <c r="F41" s="189"/>
      <c r="G41" s="189"/>
      <c r="H41" s="189"/>
      <c r="I41" s="189"/>
      <c r="J41" s="189"/>
      <c r="K41" s="189"/>
      <c r="L41" s="189"/>
      <c r="M41" s="189"/>
      <c r="N41" s="189"/>
      <c r="O41" s="189"/>
    </row>
    <row r="42" spans="1:15">
      <c r="A42" s="187"/>
      <c r="B42" s="187"/>
      <c r="C42" s="190" t="s">
        <v>4</v>
      </c>
      <c r="D42" s="190"/>
      <c r="E42" s="190"/>
      <c r="F42" s="190"/>
      <c r="G42" s="190"/>
      <c r="H42" s="190"/>
      <c r="I42" s="190" t="s">
        <v>5</v>
      </c>
      <c r="J42" s="190"/>
      <c r="K42" s="190" t="s">
        <v>6</v>
      </c>
      <c r="L42" s="190"/>
      <c r="M42" s="190"/>
      <c r="N42" s="190" t="s">
        <v>7</v>
      </c>
      <c r="O42" s="190"/>
    </row>
    <row r="43" spans="1:15">
      <c r="A43" s="187"/>
      <c r="B43" s="187"/>
      <c r="C43" s="191" t="s">
        <v>8</v>
      </c>
      <c r="D43" s="191"/>
      <c r="E43" s="191"/>
      <c r="F43" s="191"/>
      <c r="G43" s="190" t="s">
        <v>9</v>
      </c>
      <c r="H43" s="190"/>
      <c r="I43" s="191" t="s">
        <v>10</v>
      </c>
      <c r="J43" s="191"/>
      <c r="K43" s="191" t="s">
        <v>11</v>
      </c>
      <c r="L43" s="191"/>
      <c r="M43" s="191"/>
      <c r="N43" s="6" t="s">
        <v>12</v>
      </c>
      <c r="O43" s="6" t="s">
        <v>13</v>
      </c>
    </row>
    <row r="44" spans="1:15">
      <c r="A44" s="187"/>
      <c r="B44" s="187"/>
      <c r="C44" s="7" t="s">
        <v>14</v>
      </c>
      <c r="D44" s="8" t="str">
        <f>+C45</f>
        <v>Iguaçu</v>
      </c>
      <c r="E44" s="7" t="str">
        <f>+D45</f>
        <v>Desvio Ribas</v>
      </c>
      <c r="F44" s="8" t="s">
        <v>78</v>
      </c>
      <c r="G44" s="8" t="str">
        <f>+E45</f>
        <v>Guarapuava</v>
      </c>
      <c r="H44" s="8" t="str">
        <f>+G45</f>
        <v>Cascavel</v>
      </c>
      <c r="I44" s="7" t="s">
        <v>79</v>
      </c>
      <c r="J44" s="8" t="s">
        <v>15</v>
      </c>
      <c r="K44" s="8" t="str">
        <f>+J45</f>
        <v>Front. Argentina</v>
      </c>
      <c r="L44" s="8" t="str">
        <f>+K45</f>
        <v>J.V. Gonzalez</v>
      </c>
      <c r="M44" s="7" t="str">
        <f>+L45</f>
        <v>Salta</v>
      </c>
      <c r="N44" s="8" t="str">
        <f>+M45</f>
        <v>Socompa</v>
      </c>
      <c r="O44" s="7" t="str">
        <f>+N45</f>
        <v>A Victoria</v>
      </c>
    </row>
    <row r="45" spans="1:15" ht="16.5" thickBot="1">
      <c r="A45" s="188"/>
      <c r="B45" s="188"/>
      <c r="C45" s="9" t="s">
        <v>80</v>
      </c>
      <c r="D45" s="9" t="s">
        <v>16</v>
      </c>
      <c r="E45" s="9" t="s">
        <v>17</v>
      </c>
      <c r="F45" s="9" t="s">
        <v>81</v>
      </c>
      <c r="G45" s="9" t="s">
        <v>18</v>
      </c>
      <c r="H45" s="9" t="s">
        <v>82</v>
      </c>
      <c r="I45" s="9" t="s">
        <v>19</v>
      </c>
      <c r="J45" s="9" t="s">
        <v>83</v>
      </c>
      <c r="K45" s="9" t="s">
        <v>84</v>
      </c>
      <c r="L45" s="9" t="s">
        <v>20</v>
      </c>
      <c r="M45" s="9" t="s">
        <v>21</v>
      </c>
      <c r="N45" s="9" t="s">
        <v>22</v>
      </c>
      <c r="O45" s="9" t="s">
        <v>23</v>
      </c>
    </row>
    <row r="46" spans="1:15">
      <c r="A46" s="10" t="s">
        <v>66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</row>
    <row r="47" spans="1:15">
      <c r="A47" s="2" t="s">
        <v>67</v>
      </c>
      <c r="B47" s="11" t="s">
        <v>26</v>
      </c>
      <c r="C47" s="12" t="str">
        <f>+Premissas!C42</f>
        <v>GE C 30</v>
      </c>
      <c r="D47" s="12" t="str">
        <f>+Premissas!D42</f>
        <v>GE C 30</v>
      </c>
      <c r="E47" s="12" t="str">
        <f>+Premissas!E42</f>
        <v>GE C 30</v>
      </c>
      <c r="F47" s="12" t="str">
        <f>+Premissas!F42</f>
        <v>GE C 30</v>
      </c>
      <c r="G47" s="12" t="str">
        <f>+Premissas!G42</f>
        <v>GE C 30</v>
      </c>
      <c r="H47" s="12" t="str">
        <f>+Premissas!H42</f>
        <v>GE C 30</v>
      </c>
      <c r="I47" s="12" t="str">
        <f>+Premissas!I42</f>
        <v>GE C 30</v>
      </c>
      <c r="J47" s="12" t="str">
        <f>+Premissas!J42</f>
        <v>GE C 30</v>
      </c>
      <c r="K47" s="12" t="str">
        <f>+Premissas!K42</f>
        <v>GE C 30</v>
      </c>
      <c r="L47" s="12" t="str">
        <f>+Premissas!L42</f>
        <v>GE C 30</v>
      </c>
      <c r="M47" s="12" t="str">
        <f>+Premissas!M42</f>
        <v>GM G22 UB</v>
      </c>
      <c r="N47" s="12" t="str">
        <f>+Premissas!N42</f>
        <v>GM G22 UB</v>
      </c>
      <c r="O47" s="12" t="str">
        <f>+Premissas!O42</f>
        <v>GM G22 UB</v>
      </c>
    </row>
    <row r="48" spans="1:15">
      <c r="A48" s="2" t="s">
        <v>68</v>
      </c>
      <c r="B48" s="11" t="s">
        <v>28</v>
      </c>
      <c r="C48" s="12" t="str">
        <f>+Premissas!C55</f>
        <v xml:space="preserve">Gôndola </v>
      </c>
      <c r="D48" s="12" t="str">
        <f>+Premissas!D55</f>
        <v xml:space="preserve">Gôndola </v>
      </c>
      <c r="E48" s="12" t="str">
        <f>+Premissas!E55</f>
        <v xml:space="preserve">Gôndola </v>
      </c>
      <c r="F48" s="12" t="str">
        <f>+Premissas!F55</f>
        <v xml:space="preserve">Gôndola </v>
      </c>
      <c r="G48" s="12" t="str">
        <f>+Premissas!G55</f>
        <v xml:space="preserve">Gôndola </v>
      </c>
      <c r="H48" s="12" t="str">
        <f>+Premissas!H55</f>
        <v xml:space="preserve">Gôndola </v>
      </c>
      <c r="I48" s="12" t="str">
        <f>+Premissas!I55</f>
        <v xml:space="preserve">Gôndola </v>
      </c>
      <c r="J48" s="12" t="str">
        <f>+Premissas!J55</f>
        <v xml:space="preserve">Gôndola </v>
      </c>
      <c r="K48" s="12" t="str">
        <f>+Premissas!K55</f>
        <v xml:space="preserve">Gôndola </v>
      </c>
      <c r="L48" s="12" t="str">
        <f>+Premissas!L55</f>
        <v xml:space="preserve">Gôndola </v>
      </c>
      <c r="M48" s="12" t="str">
        <f>+Premissas!M55</f>
        <v xml:space="preserve">Gôndola </v>
      </c>
      <c r="N48" s="12" t="str">
        <f>+Premissas!N55</f>
        <v xml:space="preserve">Gôndola </v>
      </c>
      <c r="O48" s="12" t="str">
        <f>+Premissas!O55</f>
        <v xml:space="preserve">Gôndola </v>
      </c>
    </row>
    <row r="49" spans="1:15">
      <c r="A49" s="2" t="s">
        <v>29</v>
      </c>
      <c r="B49" s="11" t="s">
        <v>30</v>
      </c>
      <c r="C49" s="12">
        <f>+Premissas!C66</f>
        <v>3</v>
      </c>
      <c r="D49" s="12">
        <f>+Premissas!D66</f>
        <v>3</v>
      </c>
      <c r="E49" s="12">
        <f>+Premissas!E66</f>
        <v>4</v>
      </c>
      <c r="F49" s="12">
        <f>+Premissas!F66</f>
        <v>2</v>
      </c>
      <c r="G49" s="12">
        <f>+Premissas!G66</f>
        <v>4</v>
      </c>
      <c r="H49" s="12">
        <f>+Premissas!H66</f>
        <v>4</v>
      </c>
      <c r="I49" s="12">
        <f>+Premissas!I66</f>
        <v>3</v>
      </c>
      <c r="J49" s="12">
        <f>+Premissas!J66</f>
        <v>3</v>
      </c>
      <c r="K49" s="12">
        <f>+Premissas!K66</f>
        <v>3</v>
      </c>
      <c r="L49" s="12">
        <f>+Premissas!L66</f>
        <v>3</v>
      </c>
      <c r="M49" s="12">
        <f>+Premissas!M66</f>
        <v>2</v>
      </c>
      <c r="N49" s="12">
        <f>+Premissas!N66</f>
        <v>3</v>
      </c>
      <c r="O49" s="12">
        <f>+Premissas!O66</f>
        <v>4</v>
      </c>
    </row>
    <row r="50" spans="1:15">
      <c r="A50" s="2" t="s">
        <v>31</v>
      </c>
      <c r="B50" s="11" t="s">
        <v>32</v>
      </c>
      <c r="C50" s="12">
        <f>+Premissas!C67</f>
        <v>90</v>
      </c>
      <c r="D50" s="12">
        <f>+Premissas!D67</f>
        <v>90</v>
      </c>
      <c r="E50" s="12">
        <f>+Premissas!E67</f>
        <v>90</v>
      </c>
      <c r="F50" s="12">
        <f>+Premissas!F67</f>
        <v>42</v>
      </c>
      <c r="G50" s="12">
        <f>+Premissas!G67</f>
        <v>90</v>
      </c>
      <c r="H50" s="12">
        <f>+Premissas!H67</f>
        <v>90</v>
      </c>
      <c r="I50" s="12">
        <f>+Premissas!I67</f>
        <v>90</v>
      </c>
      <c r="J50" s="12">
        <f>+Premissas!J67</f>
        <v>90</v>
      </c>
      <c r="K50" s="12">
        <f>+Premissas!K67</f>
        <v>55</v>
      </c>
      <c r="L50" s="12">
        <f>+Premissas!L67</f>
        <v>55</v>
      </c>
      <c r="M50" s="12">
        <f>+Premissas!M67</f>
        <v>12</v>
      </c>
      <c r="N50" s="12">
        <f>+Premissas!N67</f>
        <v>24</v>
      </c>
      <c r="O50" s="12">
        <f>+Premissas!O67</f>
        <v>36</v>
      </c>
    </row>
    <row r="51" spans="1:15">
      <c r="A51" s="2" t="s">
        <v>33</v>
      </c>
      <c r="B51" s="11" t="s">
        <v>34</v>
      </c>
      <c r="C51" s="13">
        <f>+Premissas!C68</f>
        <v>5400</v>
      </c>
      <c r="D51" s="13">
        <f>+Premissas!D68</f>
        <v>5400</v>
      </c>
      <c r="E51" s="13">
        <f>+Premissas!E68</f>
        <v>5400</v>
      </c>
      <c r="F51" s="13">
        <f>+Premissas!F68</f>
        <v>2520</v>
      </c>
      <c r="G51" s="13">
        <f>+Premissas!G68</f>
        <v>5400</v>
      </c>
      <c r="H51" s="13">
        <f>+Premissas!H68</f>
        <v>5400</v>
      </c>
      <c r="I51" s="13">
        <f>+Premissas!I68</f>
        <v>5400</v>
      </c>
      <c r="J51" s="13">
        <f>+Premissas!J68</f>
        <v>5400</v>
      </c>
      <c r="K51" s="13">
        <f>+Premissas!K68</f>
        <v>3300</v>
      </c>
      <c r="L51" s="13">
        <f>+Premissas!L68</f>
        <v>3300</v>
      </c>
      <c r="M51" s="13">
        <f>+Premissas!M68</f>
        <v>720</v>
      </c>
      <c r="N51" s="13">
        <f>+Premissas!N68</f>
        <v>1440</v>
      </c>
      <c r="O51" s="13">
        <f>+Premissas!O68</f>
        <v>2160</v>
      </c>
    </row>
    <row r="52" spans="1:15">
      <c r="A52" s="2" t="s">
        <v>69</v>
      </c>
      <c r="B52" s="11" t="s">
        <v>34</v>
      </c>
      <c r="C52" s="13">
        <f>+Premissas!C69</f>
        <v>5265</v>
      </c>
      <c r="D52" s="13">
        <f>+Premissas!D69</f>
        <v>5265</v>
      </c>
      <c r="E52" s="13">
        <f>+Premissas!E69</f>
        <v>5265</v>
      </c>
      <c r="F52" s="13">
        <f>+Premissas!F69</f>
        <v>2457</v>
      </c>
      <c r="G52" s="13">
        <f>+Premissas!G69</f>
        <v>5265</v>
      </c>
      <c r="H52" s="13">
        <f>+Premissas!H69</f>
        <v>5265</v>
      </c>
      <c r="I52" s="13">
        <f>+Premissas!I69</f>
        <v>5265</v>
      </c>
      <c r="J52" s="13">
        <f>+Premissas!J69</f>
        <v>5265</v>
      </c>
      <c r="K52" s="13">
        <f>+Premissas!K69</f>
        <v>3217.5</v>
      </c>
      <c r="L52" s="13">
        <f>+Premissas!L69</f>
        <v>3217.5</v>
      </c>
      <c r="M52" s="13">
        <f>+Premissas!M69</f>
        <v>702</v>
      </c>
      <c r="N52" s="13">
        <f>+Premissas!N69</f>
        <v>1404</v>
      </c>
      <c r="O52" s="13">
        <f>+Premissas!O69</f>
        <v>2106</v>
      </c>
    </row>
    <row r="53" spans="1:15">
      <c r="A53" s="2" t="s">
        <v>35</v>
      </c>
      <c r="B53" s="11" t="s">
        <v>36</v>
      </c>
      <c r="C53" s="13">
        <f>+Premissas!C70</f>
        <v>7200</v>
      </c>
      <c r="D53" s="13">
        <f>+Premissas!D70</f>
        <v>7200</v>
      </c>
      <c r="E53" s="13">
        <f>+Premissas!E70</f>
        <v>7200</v>
      </c>
      <c r="F53" s="13">
        <f>+Premissas!F70</f>
        <v>3360</v>
      </c>
      <c r="G53" s="13">
        <f>+Premissas!G70</f>
        <v>7200</v>
      </c>
      <c r="H53" s="13">
        <f>+Premissas!H70</f>
        <v>7200</v>
      </c>
      <c r="I53" s="13">
        <f>+Premissas!I70</f>
        <v>7200</v>
      </c>
      <c r="J53" s="13">
        <f>+Premissas!J70</f>
        <v>7200</v>
      </c>
      <c r="K53" s="13">
        <f>+Premissas!K70</f>
        <v>4400</v>
      </c>
      <c r="L53" s="13">
        <f>+Premissas!L70</f>
        <v>4400</v>
      </c>
      <c r="M53" s="13">
        <f>+Premissas!M70</f>
        <v>960</v>
      </c>
      <c r="N53" s="13">
        <f>+Premissas!N70</f>
        <v>1920</v>
      </c>
      <c r="O53" s="13">
        <f>+Premissas!O70</f>
        <v>2880</v>
      </c>
    </row>
    <row r="54" spans="1:15">
      <c r="A54" s="2" t="s">
        <v>70</v>
      </c>
      <c r="B54" s="11" t="s">
        <v>36</v>
      </c>
      <c r="C54" s="13">
        <f>+Premissas!C71</f>
        <v>7065</v>
      </c>
      <c r="D54" s="13">
        <f>+Premissas!D71</f>
        <v>7065</v>
      </c>
      <c r="E54" s="13">
        <f>+Premissas!E71</f>
        <v>7065</v>
      </c>
      <c r="F54" s="13">
        <f>+Premissas!F71</f>
        <v>3297</v>
      </c>
      <c r="G54" s="13">
        <f>+Premissas!G71</f>
        <v>7065</v>
      </c>
      <c r="H54" s="13">
        <f>+Premissas!H71</f>
        <v>7065</v>
      </c>
      <c r="I54" s="13">
        <f>+Premissas!I71</f>
        <v>7065</v>
      </c>
      <c r="J54" s="13">
        <f>+Premissas!J71</f>
        <v>7065</v>
      </c>
      <c r="K54" s="13">
        <f>+Premissas!K71</f>
        <v>4317.5</v>
      </c>
      <c r="L54" s="13">
        <f>+Premissas!L71</f>
        <v>4317.5</v>
      </c>
      <c r="M54" s="13">
        <f>+Premissas!M71</f>
        <v>942</v>
      </c>
      <c r="N54" s="13">
        <f>+Premissas!N71</f>
        <v>1884</v>
      </c>
      <c r="O54" s="13">
        <f>+Premissas!O71</f>
        <v>2826</v>
      </c>
    </row>
    <row r="55" spans="1:15">
      <c r="A55" s="2" t="s">
        <v>37</v>
      </c>
      <c r="B55" s="11" t="s">
        <v>38</v>
      </c>
      <c r="C55" s="13">
        <f>+Frotas!C57</f>
        <v>1305072</v>
      </c>
      <c r="D55" s="13">
        <f>+Frotas!D57</f>
        <v>1839501.9</v>
      </c>
      <c r="E55" s="13">
        <f>+Frotas!E57</f>
        <v>1356160</v>
      </c>
      <c r="F55" s="13">
        <f>+Frotas!F57</f>
        <v>816063.32499999995</v>
      </c>
      <c r="G55" s="13">
        <f>+Frotas!G57</f>
        <v>1463200</v>
      </c>
      <c r="H55" s="13">
        <f>+Frotas!H57</f>
        <v>295120</v>
      </c>
      <c r="I55" s="13">
        <f>+Frotas!I57</f>
        <v>493506</v>
      </c>
      <c r="J55" s="13">
        <f>+Frotas!J57</f>
        <v>291645.00000000006</v>
      </c>
      <c r="K55" s="13">
        <f>+Frotas!K57</f>
        <v>1671359.2499999998</v>
      </c>
      <c r="L55" s="13">
        <f>+Frotas!L57</f>
        <v>357543.99999999994</v>
      </c>
      <c r="M55" s="13">
        <f>+Frotas!M57</f>
        <v>342600</v>
      </c>
      <c r="N55" s="13">
        <f>+Frotas!N57</f>
        <v>325800</v>
      </c>
      <c r="O55" s="13">
        <f>+Frotas!O57</f>
        <v>310050</v>
      </c>
    </row>
    <row r="56" spans="1:15">
      <c r="A56" s="15" t="s">
        <v>39</v>
      </c>
      <c r="B56" s="16" t="s">
        <v>40</v>
      </c>
      <c r="C56" s="23">
        <f>+Premissas!C72</f>
        <v>1515</v>
      </c>
      <c r="D56" s="23">
        <f>+Premissas!D72</f>
        <v>1515</v>
      </c>
      <c r="E56" s="23">
        <f>+Premissas!E72</f>
        <v>1540</v>
      </c>
      <c r="F56" s="23">
        <f>+Premissas!F72</f>
        <v>722</v>
      </c>
      <c r="G56" s="23">
        <f>+Premissas!G72</f>
        <v>1540</v>
      </c>
      <c r="H56" s="23">
        <f>+Premissas!H72</f>
        <v>1540</v>
      </c>
      <c r="I56" s="23">
        <f>+Premissas!I72</f>
        <v>1515</v>
      </c>
      <c r="J56" s="23">
        <f>+Premissas!J72</f>
        <v>1515</v>
      </c>
      <c r="K56" s="23">
        <f>+Premissas!K72</f>
        <v>955</v>
      </c>
      <c r="L56" s="23">
        <f>+Premissas!L72</f>
        <v>955</v>
      </c>
      <c r="M56" s="23">
        <f>+Premissas!M72</f>
        <v>232</v>
      </c>
      <c r="N56" s="23">
        <f>+Premissas!N72</f>
        <v>444</v>
      </c>
      <c r="O56" s="23">
        <f>+Premissas!O72</f>
        <v>656</v>
      </c>
    </row>
    <row r="57" spans="1:15">
      <c r="A57" s="10" t="s">
        <v>41</v>
      </c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</row>
    <row r="58" spans="1:15">
      <c r="A58" s="2" t="s">
        <v>42</v>
      </c>
      <c r="B58" s="18" t="s">
        <v>40</v>
      </c>
      <c r="C58" s="19">
        <f t="shared" ref="C58" si="6">+C56</f>
        <v>1515</v>
      </c>
      <c r="D58" s="19">
        <f t="shared" ref="D58:O58" si="7">+D56</f>
        <v>1515</v>
      </c>
      <c r="E58" s="19">
        <f t="shared" si="7"/>
        <v>1540</v>
      </c>
      <c r="F58" s="19">
        <f t="shared" si="7"/>
        <v>722</v>
      </c>
      <c r="G58" s="19">
        <f t="shared" si="7"/>
        <v>1540</v>
      </c>
      <c r="H58" s="19">
        <f t="shared" si="7"/>
        <v>1540</v>
      </c>
      <c r="I58" s="19">
        <f t="shared" si="7"/>
        <v>1515</v>
      </c>
      <c r="J58" s="19">
        <f t="shared" si="7"/>
        <v>1515</v>
      </c>
      <c r="K58" s="19">
        <f t="shared" si="7"/>
        <v>955</v>
      </c>
      <c r="L58" s="19">
        <f t="shared" si="7"/>
        <v>955</v>
      </c>
      <c r="M58" s="19">
        <f t="shared" si="7"/>
        <v>232</v>
      </c>
      <c r="N58" s="19">
        <f t="shared" si="7"/>
        <v>444</v>
      </c>
      <c r="O58" s="19">
        <f t="shared" si="7"/>
        <v>656</v>
      </c>
    </row>
    <row r="59" spans="1:15">
      <c r="A59" s="2" t="s">
        <v>43</v>
      </c>
      <c r="B59" s="18" t="s">
        <v>40</v>
      </c>
      <c r="C59" s="20">
        <f>Premissas!C97*2</f>
        <v>131.34</v>
      </c>
      <c r="D59" s="20">
        <f>Premissas!D97*2</f>
        <v>131.34</v>
      </c>
      <c r="E59" s="20">
        <f>Premissas!E97*2</f>
        <v>131.34</v>
      </c>
      <c r="F59" s="20">
        <f>Premissas!F97*2</f>
        <v>131.34</v>
      </c>
      <c r="G59" s="20">
        <f>Premissas!G97*2</f>
        <v>131.34</v>
      </c>
      <c r="H59" s="20">
        <f>Premissas!H97*2</f>
        <v>131.34</v>
      </c>
      <c r="I59" s="20">
        <f>Premissas!I97*2</f>
        <v>131.34</v>
      </c>
      <c r="J59" s="20">
        <f>Premissas!J97*2</f>
        <v>131.34</v>
      </c>
      <c r="K59" s="20">
        <f>Premissas!K97*2</f>
        <v>131.34</v>
      </c>
      <c r="L59" s="20">
        <f>Premissas!L97*2</f>
        <v>131.34</v>
      </c>
      <c r="M59" s="20">
        <f>Premissas!M97*2</f>
        <v>131.34</v>
      </c>
      <c r="N59" s="20">
        <f>Premissas!N97*2</f>
        <v>131.34</v>
      </c>
      <c r="O59" s="20">
        <f>Premissas!O97*2</f>
        <v>131.34</v>
      </c>
    </row>
    <row r="60" spans="1:15">
      <c r="A60" s="2" t="s">
        <v>44</v>
      </c>
      <c r="B60" s="18" t="s">
        <v>40</v>
      </c>
      <c r="C60" s="20">
        <f>+Premissas!C98</f>
        <v>80</v>
      </c>
      <c r="D60" s="20">
        <f>+Premissas!D98</f>
        <v>80</v>
      </c>
      <c r="E60" s="20">
        <f>+Premissas!E98</f>
        <v>80</v>
      </c>
      <c r="F60" s="20">
        <f>+Premissas!F98</f>
        <v>80</v>
      </c>
      <c r="G60" s="20">
        <f>+Premissas!G98</f>
        <v>80</v>
      </c>
      <c r="H60" s="20">
        <f>+Premissas!H98</f>
        <v>80</v>
      </c>
      <c r="I60" s="20">
        <f>+Premissas!I98</f>
        <v>80</v>
      </c>
      <c r="J60" s="20">
        <f>+Premissas!J98</f>
        <v>80</v>
      </c>
      <c r="K60" s="20">
        <f>+Premissas!K98</f>
        <v>80</v>
      </c>
      <c r="L60" s="20">
        <f>+Premissas!L98</f>
        <v>80</v>
      </c>
      <c r="M60" s="20">
        <f>+Premissas!M98</f>
        <v>80</v>
      </c>
      <c r="N60" s="20">
        <f>+Premissas!N98</f>
        <v>80</v>
      </c>
      <c r="O60" s="20">
        <f>+Premissas!O98</f>
        <v>80</v>
      </c>
    </row>
    <row r="61" spans="1:15">
      <c r="A61" s="15" t="s">
        <v>45</v>
      </c>
      <c r="B61" s="16" t="s">
        <v>40</v>
      </c>
      <c r="C61" s="23">
        <f t="shared" ref="C61" si="8">SUM(C58:C60)</f>
        <v>1726.34</v>
      </c>
      <c r="D61" s="23">
        <f t="shared" ref="D61:O61" si="9">SUM(D58:D60)</f>
        <v>1726.34</v>
      </c>
      <c r="E61" s="23">
        <f t="shared" si="9"/>
        <v>1751.34</v>
      </c>
      <c r="F61" s="23">
        <f t="shared" si="9"/>
        <v>933.34</v>
      </c>
      <c r="G61" s="23">
        <f t="shared" si="9"/>
        <v>1751.34</v>
      </c>
      <c r="H61" s="23">
        <f t="shared" si="9"/>
        <v>1751.34</v>
      </c>
      <c r="I61" s="23">
        <f t="shared" si="9"/>
        <v>1726.34</v>
      </c>
      <c r="J61" s="23">
        <f t="shared" si="9"/>
        <v>1726.34</v>
      </c>
      <c r="K61" s="23">
        <f t="shared" si="9"/>
        <v>1166.3399999999999</v>
      </c>
      <c r="L61" s="23">
        <f t="shared" si="9"/>
        <v>1166.3399999999999</v>
      </c>
      <c r="M61" s="23">
        <f t="shared" si="9"/>
        <v>443.34000000000003</v>
      </c>
      <c r="N61" s="23">
        <f t="shared" si="9"/>
        <v>655.34</v>
      </c>
      <c r="O61" s="23">
        <f t="shared" si="9"/>
        <v>867.34</v>
      </c>
    </row>
    <row r="62" spans="1:15">
      <c r="A62" s="10" t="s">
        <v>46</v>
      </c>
      <c r="B62" s="11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</row>
    <row r="63" spans="1:15">
      <c r="A63" s="2" t="s">
        <v>47</v>
      </c>
      <c r="B63" s="11" t="s">
        <v>48</v>
      </c>
      <c r="C63" s="2">
        <f>+Premissas!C75</f>
        <v>60</v>
      </c>
      <c r="D63" s="2">
        <f>+Premissas!D75</f>
        <v>60</v>
      </c>
      <c r="E63" s="2">
        <f>+Premissas!E75</f>
        <v>60</v>
      </c>
      <c r="F63" s="2">
        <f>+Premissas!F75</f>
        <v>60</v>
      </c>
      <c r="G63" s="2">
        <f>+Premissas!G75</f>
        <v>60</v>
      </c>
      <c r="H63" s="2">
        <f>+Premissas!H75</f>
        <v>60</v>
      </c>
      <c r="I63" s="2">
        <f>+Premissas!I75</f>
        <v>60</v>
      </c>
      <c r="J63" s="2">
        <f>+Premissas!J75</f>
        <v>60</v>
      </c>
      <c r="K63" s="2">
        <f>+Premissas!K75</f>
        <v>60</v>
      </c>
      <c r="L63" s="2">
        <f>+Premissas!L75</f>
        <v>60</v>
      </c>
      <c r="M63" s="2">
        <f>+Premissas!M75</f>
        <v>60</v>
      </c>
      <c r="N63" s="2">
        <f>+Premissas!N75</f>
        <v>60</v>
      </c>
      <c r="O63" s="2">
        <f>+Premissas!O75</f>
        <v>60</v>
      </c>
    </row>
    <row r="64" spans="1:15">
      <c r="A64" s="2" t="s">
        <v>49</v>
      </c>
      <c r="B64" s="11" t="s">
        <v>48</v>
      </c>
      <c r="C64" s="2">
        <f>+Premissas!C79</f>
        <v>31</v>
      </c>
      <c r="D64" s="2">
        <f>+Premissas!D79</f>
        <v>31</v>
      </c>
      <c r="E64" s="2">
        <f>+Premissas!E79</f>
        <v>31</v>
      </c>
      <c r="F64" s="2">
        <f>+Premissas!F79</f>
        <v>31</v>
      </c>
      <c r="G64" s="2">
        <f>+Premissas!G79</f>
        <v>31</v>
      </c>
      <c r="H64" s="2">
        <f>+Premissas!H79</f>
        <v>31</v>
      </c>
      <c r="I64" s="2">
        <f>+Premissas!I79</f>
        <v>31</v>
      </c>
      <c r="J64" s="2">
        <f>+Premissas!J79</f>
        <v>31</v>
      </c>
      <c r="K64" s="2">
        <f>+Premissas!K79</f>
        <v>31</v>
      </c>
      <c r="L64" s="2">
        <f>+Premissas!L79</f>
        <v>31</v>
      </c>
      <c r="M64" s="2">
        <f>+Premissas!M79</f>
        <v>31</v>
      </c>
      <c r="N64" s="2">
        <f>+Premissas!N79</f>
        <v>26</v>
      </c>
      <c r="O64" s="2">
        <f>+Premissas!O79</f>
        <v>26</v>
      </c>
    </row>
    <row r="65" spans="1:15">
      <c r="A65" s="2" t="s">
        <v>50</v>
      </c>
      <c r="B65" s="11" t="s">
        <v>51</v>
      </c>
      <c r="C65" s="19">
        <f>Frotas!C56*2</f>
        <v>217.512</v>
      </c>
      <c r="D65" s="19">
        <f>Frotas!D56*2</f>
        <v>211.43700000000001</v>
      </c>
      <c r="E65" s="19">
        <f>Frotas!E56*2</f>
        <v>423.8</v>
      </c>
      <c r="F65" s="19">
        <f>Frotas!F56*2</f>
        <v>466.32190000000003</v>
      </c>
      <c r="G65" s="19">
        <f>Frotas!G56*2</f>
        <v>496</v>
      </c>
      <c r="H65" s="19">
        <f>Frotas!H56*2</f>
        <v>347.2</v>
      </c>
      <c r="I65" s="19">
        <f>Frotas!I56*2</f>
        <v>519.48</v>
      </c>
      <c r="J65" s="19">
        <f>Frotas!J56*2</f>
        <v>583.29000000000008</v>
      </c>
      <c r="K65" s="19">
        <f>Frotas!K56*2</f>
        <v>1114.2394999999999</v>
      </c>
      <c r="L65" s="19">
        <f>Frotas!L56*2</f>
        <v>446.92999999999995</v>
      </c>
      <c r="M65" s="19">
        <f>Frotas!M56*2</f>
        <v>1142</v>
      </c>
      <c r="N65" s="19">
        <f>Frotas!N56*2</f>
        <v>362</v>
      </c>
      <c r="O65" s="19">
        <f>Frotas!O56*2</f>
        <v>238.5</v>
      </c>
    </row>
    <row r="66" spans="1:15">
      <c r="A66" s="2" t="s">
        <v>52</v>
      </c>
      <c r="B66" s="11" t="s">
        <v>53</v>
      </c>
      <c r="C66" s="19">
        <f t="shared" ref="C66" si="10">C65/C64</f>
        <v>7.016516129032258</v>
      </c>
      <c r="D66" s="19">
        <f t="shared" ref="D66:O66" si="11">D65/D64</f>
        <v>6.8205483870967747</v>
      </c>
      <c r="E66" s="19">
        <f t="shared" si="11"/>
        <v>13.670967741935485</v>
      </c>
      <c r="F66" s="19">
        <f t="shared" si="11"/>
        <v>15.042641935483871</v>
      </c>
      <c r="G66" s="19">
        <f t="shared" si="11"/>
        <v>16</v>
      </c>
      <c r="H66" s="19">
        <f t="shared" si="11"/>
        <v>11.2</v>
      </c>
      <c r="I66" s="19">
        <f t="shared" si="11"/>
        <v>16.75741935483871</v>
      </c>
      <c r="J66" s="19">
        <f t="shared" si="11"/>
        <v>18.815806451612907</v>
      </c>
      <c r="K66" s="19">
        <f t="shared" si="11"/>
        <v>35.943209677419354</v>
      </c>
      <c r="L66" s="19">
        <f t="shared" si="11"/>
        <v>14.417096774193547</v>
      </c>
      <c r="M66" s="19">
        <f t="shared" si="11"/>
        <v>36.838709677419352</v>
      </c>
      <c r="N66" s="19">
        <f t="shared" si="11"/>
        <v>13.923076923076923</v>
      </c>
      <c r="O66" s="19">
        <f t="shared" si="11"/>
        <v>9.1730769230769234</v>
      </c>
    </row>
    <row r="67" spans="1:15">
      <c r="A67" s="24" t="s">
        <v>54</v>
      </c>
      <c r="B67" s="25" t="s">
        <v>55</v>
      </c>
      <c r="C67" s="26">
        <f t="shared" ref="C67" si="12">+C66/24</f>
        <v>0.29235483870967743</v>
      </c>
      <c r="D67" s="26">
        <f t="shared" ref="D67:O67" si="13">+D66/24</f>
        <v>0.28418951612903226</v>
      </c>
      <c r="E67" s="26">
        <f t="shared" si="13"/>
        <v>0.56962365591397857</v>
      </c>
      <c r="F67" s="26">
        <f t="shared" si="13"/>
        <v>0.62677674731182798</v>
      </c>
      <c r="G67" s="26">
        <f t="shared" si="13"/>
        <v>0.66666666666666663</v>
      </c>
      <c r="H67" s="26">
        <f t="shared" si="13"/>
        <v>0.46666666666666662</v>
      </c>
      <c r="I67" s="26">
        <f t="shared" si="13"/>
        <v>0.69822580645161292</v>
      </c>
      <c r="J67" s="26">
        <f t="shared" si="13"/>
        <v>0.78399193548387114</v>
      </c>
      <c r="K67" s="26">
        <f t="shared" si="13"/>
        <v>1.4976337365591397</v>
      </c>
      <c r="L67" s="26">
        <f t="shared" si="13"/>
        <v>0.60071236559139785</v>
      </c>
      <c r="M67" s="26">
        <f t="shared" si="13"/>
        <v>1.5349462365591398</v>
      </c>
      <c r="N67" s="26">
        <f t="shared" si="13"/>
        <v>0.58012820512820518</v>
      </c>
      <c r="O67" s="26">
        <f t="shared" si="13"/>
        <v>0.38221153846153849</v>
      </c>
    </row>
    <row r="68" spans="1:15">
      <c r="A68" s="24" t="s">
        <v>56</v>
      </c>
      <c r="B68" s="25" t="s">
        <v>55</v>
      </c>
      <c r="C68" s="27">
        <f>2*Premissas!C93/24</f>
        <v>0.66666666666666663</v>
      </c>
      <c r="D68" s="27">
        <f>2*Premissas!D93/24</f>
        <v>4.1666666666666664E-2</v>
      </c>
      <c r="E68" s="27">
        <f>2*Premissas!E93/24</f>
        <v>0.25</v>
      </c>
      <c r="F68" s="27">
        <f>2*Premissas!F93/24</f>
        <v>0.66666666666666663</v>
      </c>
      <c r="G68" s="27">
        <f>2*Premissas!G93/24</f>
        <v>0.125</v>
      </c>
      <c r="H68" s="27">
        <f>2*Premissas!H93/24</f>
        <v>0.66666666666666663</v>
      </c>
      <c r="I68" s="27">
        <f>2*Premissas!I93/24</f>
        <v>1.1666666666666667</v>
      </c>
      <c r="J68" s="27">
        <f>2*Premissas!J93/24</f>
        <v>1.1666666666666667</v>
      </c>
      <c r="K68" s="27">
        <f>2*Premissas!K93/24</f>
        <v>1</v>
      </c>
      <c r="L68" s="27">
        <f>2*Premissas!L93/24</f>
        <v>0.66666666666666663</v>
      </c>
      <c r="M68" s="27">
        <f>2*Premissas!M93/24</f>
        <v>0.5</v>
      </c>
      <c r="N68" s="27">
        <f>2*Premissas!N93/24</f>
        <v>0.33333333333333331</v>
      </c>
      <c r="O68" s="27">
        <f>2*Premissas!O93/24</f>
        <v>0.66666666666666663</v>
      </c>
    </row>
    <row r="69" spans="1:15">
      <c r="A69" s="2" t="s">
        <v>71</v>
      </c>
      <c r="B69" s="11" t="s">
        <v>55</v>
      </c>
      <c r="C69" s="20">
        <f>+Premissas!C88/24*2</f>
        <v>4.1666666666666664E-2</v>
      </c>
      <c r="D69" s="20">
        <f>+Premissas!D88/24*2</f>
        <v>4.1666666666666664E-2</v>
      </c>
      <c r="E69" s="20">
        <f>+Premissas!E88/24*2</f>
        <v>4.1666666666666664E-2</v>
      </c>
      <c r="F69" s="20">
        <f>+Premissas!F88/24*2</f>
        <v>4.1666666666666664E-2</v>
      </c>
      <c r="G69" s="20">
        <f>+Premissas!G88/24*2</f>
        <v>4.1666666666666664E-2</v>
      </c>
      <c r="H69" s="20">
        <f>+Premissas!H88/24*2</f>
        <v>4.1666666666666664E-2</v>
      </c>
      <c r="I69" s="20">
        <f>+Premissas!I88/24*2</f>
        <v>4.1666666666666664E-2</v>
      </c>
      <c r="J69" s="20">
        <f>+Premissas!J88/24*2</f>
        <v>4.1666666666666664E-2</v>
      </c>
      <c r="K69" s="20">
        <f>+Premissas!K88/24*2</f>
        <v>4.1666666666666664E-2</v>
      </c>
      <c r="L69" s="20">
        <f>+Premissas!L88/24*2</f>
        <v>4.1666666666666664E-2</v>
      </c>
      <c r="M69" s="20">
        <f>+Premissas!M88/24*2</f>
        <v>4.1666666666666664E-2</v>
      </c>
      <c r="N69" s="20">
        <f>+Premissas!N88/24*2</f>
        <v>4.1666666666666664E-2</v>
      </c>
      <c r="O69" s="20">
        <f>+Premissas!O88/24*2</f>
        <v>4.1666666666666664E-2</v>
      </c>
    </row>
    <row r="70" spans="1:15">
      <c r="A70" s="2" t="s">
        <v>72</v>
      </c>
      <c r="B70" s="11" t="s">
        <v>55</v>
      </c>
      <c r="C70" s="20">
        <f>+Premissas!C90/24*2</f>
        <v>0</v>
      </c>
      <c r="D70" s="20">
        <f>+Premissas!D90/24*2</f>
        <v>0</v>
      </c>
      <c r="E70" s="20">
        <f>+Premissas!E90/24*2</f>
        <v>0</v>
      </c>
      <c r="F70" s="20">
        <f>+Premissas!F90/24*2</f>
        <v>0</v>
      </c>
      <c r="G70" s="20">
        <f>+Premissas!G90/24*2</f>
        <v>0</v>
      </c>
      <c r="H70" s="20">
        <f>+Premissas!H90/24*2</f>
        <v>0</v>
      </c>
      <c r="I70" s="20">
        <f>+Premissas!I90/24*2</f>
        <v>0.5</v>
      </c>
      <c r="J70" s="20">
        <f>+Premissas!J90/24*2</f>
        <v>0.5</v>
      </c>
      <c r="K70" s="20">
        <f>+Premissas!K90/24*2</f>
        <v>0.5</v>
      </c>
      <c r="L70" s="20">
        <f>+Premissas!L90/24*2</f>
        <v>0</v>
      </c>
      <c r="M70" s="20">
        <f>+Premissas!M90/24*2</f>
        <v>0.25</v>
      </c>
      <c r="N70" s="20">
        <f>+Premissas!N90/24*2</f>
        <v>0.25</v>
      </c>
      <c r="O70" s="20">
        <f>+Premissas!O90/24*2</f>
        <v>0</v>
      </c>
    </row>
    <row r="71" spans="1:15">
      <c r="A71" s="2" t="s">
        <v>58</v>
      </c>
      <c r="B71" s="11" t="s">
        <v>55</v>
      </c>
      <c r="C71" s="20">
        <f>+Premissas!C89/24*2</f>
        <v>0.41666666666666669</v>
      </c>
      <c r="D71" s="20">
        <f>+Premissas!D89/24*2</f>
        <v>0</v>
      </c>
      <c r="E71" s="20">
        <f>+Premissas!E89/24*2</f>
        <v>0</v>
      </c>
      <c r="F71" s="20">
        <f>+Premissas!F89/24*2</f>
        <v>0.41666666666666669</v>
      </c>
      <c r="G71" s="20">
        <f>+Premissas!G89/24*2</f>
        <v>0</v>
      </c>
      <c r="H71" s="20">
        <f>+Premissas!H89/24*2</f>
        <v>0.41666666666666669</v>
      </c>
      <c r="I71" s="20">
        <f>+Premissas!I89/24*2</f>
        <v>0.41666666666666669</v>
      </c>
      <c r="J71" s="20">
        <f>+Premissas!J89/24*2</f>
        <v>0.41666666666666669</v>
      </c>
      <c r="K71" s="20">
        <f>+Premissas!K89/24*2</f>
        <v>0.41666666666666669</v>
      </c>
      <c r="L71" s="20">
        <f>+Premissas!L89/24*2</f>
        <v>0.41666666666666669</v>
      </c>
      <c r="M71" s="20">
        <f>+Premissas!M89/24*2</f>
        <v>0</v>
      </c>
      <c r="N71" s="20">
        <f>+Premissas!N89/24*2</f>
        <v>0</v>
      </c>
      <c r="O71" s="20">
        <f>+Premissas!O89/24*2</f>
        <v>0.41666666666666669</v>
      </c>
    </row>
    <row r="72" spans="1:15">
      <c r="A72" s="2" t="s">
        <v>59</v>
      </c>
      <c r="B72" s="11" t="s">
        <v>55</v>
      </c>
      <c r="C72" s="20">
        <f>Premissas!C91/24*2</f>
        <v>0.16666666666666666</v>
      </c>
      <c r="D72" s="20">
        <f>Premissas!D91/24*2</f>
        <v>0</v>
      </c>
      <c r="E72" s="20">
        <f>Premissas!E91/24*2</f>
        <v>0.16666666666666666</v>
      </c>
      <c r="F72" s="20">
        <f>Premissas!F91/24*2</f>
        <v>0.16666666666666666</v>
      </c>
      <c r="G72" s="20">
        <f>Premissas!G91/24*2</f>
        <v>4.1666666666666664E-2</v>
      </c>
      <c r="H72" s="20">
        <f>Premissas!H91/24*2</f>
        <v>0.16666666666666666</v>
      </c>
      <c r="I72" s="20">
        <f>Premissas!I91/24*2</f>
        <v>0.16666666666666666</v>
      </c>
      <c r="J72" s="20">
        <f>Premissas!J91/24*2</f>
        <v>0.16666666666666666</v>
      </c>
      <c r="K72" s="20">
        <f>Premissas!K91/24*2</f>
        <v>0</v>
      </c>
      <c r="L72" s="20">
        <f>Premissas!L91/24*2</f>
        <v>0.16666666666666666</v>
      </c>
      <c r="M72" s="20">
        <f>Premissas!M91/24*2</f>
        <v>0.16666666666666666</v>
      </c>
      <c r="N72" s="20">
        <f>Premissas!N91/24*2</f>
        <v>0</v>
      </c>
      <c r="O72" s="20">
        <f>Premissas!O91/24*2</f>
        <v>0.16666666666666666</v>
      </c>
    </row>
    <row r="73" spans="1:15">
      <c r="A73" s="15" t="s">
        <v>60</v>
      </c>
      <c r="B73" s="16" t="s">
        <v>55</v>
      </c>
      <c r="C73" s="28">
        <f>+Premissas!C92/24*2</f>
        <v>4.1666666666666664E-2</v>
      </c>
      <c r="D73" s="28">
        <f>+Premissas!D92/24*2</f>
        <v>0</v>
      </c>
      <c r="E73" s="28">
        <f>+Premissas!E92/24*2</f>
        <v>4.1666666666666664E-2</v>
      </c>
      <c r="F73" s="28">
        <f>+Premissas!F92/24*2</f>
        <v>4.1666666666666664E-2</v>
      </c>
      <c r="G73" s="28">
        <f>+Premissas!G92/24*2</f>
        <v>4.1666666666666664E-2</v>
      </c>
      <c r="H73" s="28">
        <f>+Premissas!H92/24*2</f>
        <v>4.1666666666666664E-2</v>
      </c>
      <c r="I73" s="28">
        <f>+Premissas!I92/24*2</f>
        <v>4.1666666666666664E-2</v>
      </c>
      <c r="J73" s="28">
        <f>+Premissas!J92/24*2</f>
        <v>4.1666666666666664E-2</v>
      </c>
      <c r="K73" s="28">
        <f>+Premissas!K92/24*2</f>
        <v>4.1666666666666664E-2</v>
      </c>
      <c r="L73" s="28">
        <f>+Premissas!L92/24*2</f>
        <v>4.1666666666666664E-2</v>
      </c>
      <c r="M73" s="28">
        <f>+Premissas!M92/24*2</f>
        <v>4.1666666666666664E-2</v>
      </c>
      <c r="N73" s="28">
        <f>+Premissas!N92/24*2</f>
        <v>4.1666666666666664E-2</v>
      </c>
      <c r="O73" s="28">
        <f>+Premissas!O92/24*2</f>
        <v>4.1666666666666664E-2</v>
      </c>
    </row>
    <row r="74" spans="1:15" ht="16.5" thickBot="1">
      <c r="A74" s="5" t="s">
        <v>61</v>
      </c>
      <c r="B74" s="29" t="s">
        <v>55</v>
      </c>
      <c r="C74" s="30">
        <f t="shared" ref="C74" si="14">+C68+C67</f>
        <v>0.95902150537634401</v>
      </c>
      <c r="D74" s="30">
        <f t="shared" ref="D74:O74" si="15">+D68+D67</f>
        <v>0.32585618279569895</v>
      </c>
      <c r="E74" s="30">
        <f t="shared" si="15"/>
        <v>0.81962365591397857</v>
      </c>
      <c r="F74" s="30">
        <f t="shared" si="15"/>
        <v>1.2934434139784945</v>
      </c>
      <c r="G74" s="30">
        <f t="shared" si="15"/>
        <v>0.79166666666666663</v>
      </c>
      <c r="H74" s="30">
        <f t="shared" si="15"/>
        <v>1.1333333333333333</v>
      </c>
      <c r="I74" s="30">
        <f t="shared" si="15"/>
        <v>1.8648924731182797</v>
      </c>
      <c r="J74" s="30">
        <f t="shared" si="15"/>
        <v>1.9506586021505379</v>
      </c>
      <c r="K74" s="30">
        <f t="shared" si="15"/>
        <v>2.4976337365591395</v>
      </c>
      <c r="L74" s="30">
        <f t="shared" si="15"/>
        <v>1.2673790322580645</v>
      </c>
      <c r="M74" s="30">
        <f t="shared" si="15"/>
        <v>2.03494623655914</v>
      </c>
      <c r="N74" s="30">
        <f t="shared" si="15"/>
        <v>0.91346153846153855</v>
      </c>
      <c r="O74" s="30">
        <f t="shared" si="15"/>
        <v>1.0488782051282051</v>
      </c>
    </row>
    <row r="75" spans="1:15">
      <c r="A75" s="2" t="s">
        <v>73</v>
      </c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</row>
    <row r="76" spans="1:15">
      <c r="A76" s="21" t="s">
        <v>74</v>
      </c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</row>
    <row r="77" spans="1:15">
      <c r="A77" s="31" t="s">
        <v>64</v>
      </c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</row>
    <row r="78" spans="1:15">
      <c r="A78" s="33"/>
    </row>
    <row r="79" spans="1:15">
      <c r="A79" s="1" t="s">
        <v>77</v>
      </c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</row>
    <row r="80" spans="1:15" ht="16.5" thickBot="1">
      <c r="A80" s="4" t="s">
        <v>65</v>
      </c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15">
      <c r="A81" s="186" t="s">
        <v>1</v>
      </c>
      <c r="B81" s="186" t="s">
        <v>2</v>
      </c>
      <c r="C81" s="189" t="s">
        <v>3</v>
      </c>
      <c r="D81" s="189"/>
      <c r="E81" s="189"/>
      <c r="F81" s="189"/>
      <c r="G81" s="189"/>
      <c r="H81" s="189"/>
      <c r="I81" s="189"/>
      <c r="J81" s="189"/>
      <c r="K81" s="189"/>
      <c r="L81" s="189"/>
      <c r="M81" s="189"/>
      <c r="N81" s="189"/>
      <c r="O81" s="189"/>
    </row>
    <row r="82" spans="1:15">
      <c r="A82" s="187"/>
      <c r="B82" s="187"/>
      <c r="C82" s="190" t="s">
        <v>4</v>
      </c>
      <c r="D82" s="190"/>
      <c r="E82" s="190"/>
      <c r="F82" s="190"/>
      <c r="G82" s="190"/>
      <c r="H82" s="190"/>
      <c r="I82" s="190" t="s">
        <v>5</v>
      </c>
      <c r="J82" s="190"/>
      <c r="K82" s="190" t="s">
        <v>6</v>
      </c>
      <c r="L82" s="190"/>
      <c r="M82" s="190"/>
      <c r="N82" s="190" t="s">
        <v>7</v>
      </c>
      <c r="O82" s="190"/>
    </row>
    <row r="83" spans="1:15">
      <c r="A83" s="187"/>
      <c r="B83" s="187"/>
      <c r="C83" s="191" t="s">
        <v>8</v>
      </c>
      <c r="D83" s="191"/>
      <c r="E83" s="191"/>
      <c r="F83" s="191"/>
      <c r="G83" s="190" t="s">
        <v>9</v>
      </c>
      <c r="H83" s="190"/>
      <c r="I83" s="191" t="s">
        <v>10</v>
      </c>
      <c r="J83" s="191"/>
      <c r="K83" s="191" t="s">
        <v>11</v>
      </c>
      <c r="L83" s="191"/>
      <c r="M83" s="191"/>
      <c r="N83" s="6" t="s">
        <v>12</v>
      </c>
      <c r="O83" s="6" t="s">
        <v>13</v>
      </c>
    </row>
    <row r="84" spans="1:15">
      <c r="A84" s="187"/>
      <c r="B84" s="187"/>
      <c r="C84" s="7" t="s">
        <v>14</v>
      </c>
      <c r="D84" s="8" t="str">
        <f>+C85</f>
        <v>Iguaçu</v>
      </c>
      <c r="E84" s="7" t="str">
        <f>+D85</f>
        <v>Desvio Ribas</v>
      </c>
      <c r="F84" s="8" t="s">
        <v>78</v>
      </c>
      <c r="G84" s="8" t="str">
        <f>+E85</f>
        <v>Guarapuava</v>
      </c>
      <c r="H84" s="8" t="str">
        <f>+G85</f>
        <v>Cascavel</v>
      </c>
      <c r="I84" s="7" t="s">
        <v>79</v>
      </c>
      <c r="J84" s="8" t="s">
        <v>15</v>
      </c>
      <c r="K84" s="8" t="str">
        <f>+J85</f>
        <v>Front. Argentina</v>
      </c>
      <c r="L84" s="8" t="str">
        <f>+K85</f>
        <v>J.V. Gonzalez</v>
      </c>
      <c r="M84" s="7" t="str">
        <f>+L85</f>
        <v>Salta</v>
      </c>
      <c r="N84" s="8" t="str">
        <f>+M85</f>
        <v>Socompa</v>
      </c>
      <c r="O84" s="7" t="str">
        <f>+N85</f>
        <v>A Victoria</v>
      </c>
    </row>
    <row r="85" spans="1:15" ht="16.5" thickBot="1">
      <c r="A85" s="188"/>
      <c r="B85" s="188"/>
      <c r="C85" s="9" t="s">
        <v>80</v>
      </c>
      <c r="D85" s="9" t="s">
        <v>16</v>
      </c>
      <c r="E85" s="9" t="s">
        <v>17</v>
      </c>
      <c r="F85" s="9" t="s">
        <v>81</v>
      </c>
      <c r="G85" s="9" t="s">
        <v>18</v>
      </c>
      <c r="H85" s="9" t="s">
        <v>82</v>
      </c>
      <c r="I85" s="9" t="s">
        <v>19</v>
      </c>
      <c r="J85" s="9" t="s">
        <v>83</v>
      </c>
      <c r="K85" s="9" t="s">
        <v>84</v>
      </c>
      <c r="L85" s="9" t="s">
        <v>20</v>
      </c>
      <c r="M85" s="9" t="s">
        <v>21</v>
      </c>
      <c r="N85" s="9" t="s">
        <v>22</v>
      </c>
      <c r="O85" s="9" t="s">
        <v>23</v>
      </c>
    </row>
    <row r="86" spans="1:15">
      <c r="A86" s="2" t="s">
        <v>67</v>
      </c>
      <c r="B86" s="11" t="s">
        <v>26</v>
      </c>
      <c r="C86" s="12" t="str">
        <f t="shared" ref="C86:O89" si="16">+C47</f>
        <v>GE C 30</v>
      </c>
      <c r="D86" s="12" t="str">
        <f t="shared" si="16"/>
        <v>GE C 30</v>
      </c>
      <c r="E86" s="12" t="str">
        <f t="shared" si="16"/>
        <v>GE C 30</v>
      </c>
      <c r="F86" s="12" t="str">
        <f t="shared" si="16"/>
        <v>GE C 30</v>
      </c>
      <c r="G86" s="12" t="str">
        <f t="shared" si="16"/>
        <v>GE C 30</v>
      </c>
      <c r="H86" s="12" t="str">
        <f t="shared" si="16"/>
        <v>GE C 30</v>
      </c>
      <c r="I86" s="12" t="str">
        <f t="shared" si="16"/>
        <v>GE C 30</v>
      </c>
      <c r="J86" s="12" t="str">
        <f t="shared" si="16"/>
        <v>GE C 30</v>
      </c>
      <c r="K86" s="12" t="str">
        <f t="shared" si="16"/>
        <v>GE C 30</v>
      </c>
      <c r="L86" s="12" t="str">
        <f t="shared" si="16"/>
        <v>GE C 30</v>
      </c>
      <c r="M86" s="12" t="str">
        <f t="shared" si="16"/>
        <v>GM G22 UB</v>
      </c>
      <c r="N86" s="12" t="str">
        <f t="shared" si="16"/>
        <v>GM G22 UB</v>
      </c>
      <c r="O86" s="12" t="str">
        <f t="shared" si="16"/>
        <v>GM G22 UB</v>
      </c>
    </row>
    <row r="87" spans="1:15">
      <c r="A87" s="2" t="s">
        <v>68</v>
      </c>
      <c r="B87" s="11" t="s">
        <v>28</v>
      </c>
      <c r="C87" s="12" t="str">
        <f t="shared" si="16"/>
        <v xml:space="preserve">Gôndola </v>
      </c>
      <c r="D87" s="12" t="str">
        <f t="shared" si="16"/>
        <v xml:space="preserve">Gôndola </v>
      </c>
      <c r="E87" s="12" t="str">
        <f t="shared" si="16"/>
        <v xml:space="preserve">Gôndola </v>
      </c>
      <c r="F87" s="12" t="str">
        <f t="shared" si="16"/>
        <v xml:space="preserve">Gôndola </v>
      </c>
      <c r="G87" s="12" t="str">
        <f t="shared" si="16"/>
        <v xml:space="preserve">Gôndola </v>
      </c>
      <c r="H87" s="12" t="str">
        <f t="shared" si="16"/>
        <v xml:space="preserve">Gôndola </v>
      </c>
      <c r="I87" s="12" t="str">
        <f t="shared" si="16"/>
        <v xml:space="preserve">Gôndola </v>
      </c>
      <c r="J87" s="12" t="str">
        <f t="shared" si="16"/>
        <v xml:space="preserve">Gôndola </v>
      </c>
      <c r="K87" s="12" t="str">
        <f t="shared" si="16"/>
        <v xml:space="preserve">Gôndola </v>
      </c>
      <c r="L87" s="12" t="str">
        <f t="shared" si="16"/>
        <v xml:space="preserve">Gôndola </v>
      </c>
      <c r="M87" s="12" t="str">
        <f t="shared" si="16"/>
        <v xml:space="preserve">Gôndola </v>
      </c>
      <c r="N87" s="12" t="str">
        <f t="shared" si="16"/>
        <v xml:space="preserve">Gôndola </v>
      </c>
      <c r="O87" s="12" t="str">
        <f t="shared" si="16"/>
        <v xml:space="preserve">Gôndola </v>
      </c>
    </row>
    <row r="88" spans="1:15">
      <c r="A88" s="2" t="s">
        <v>29</v>
      </c>
      <c r="B88" s="11" t="s">
        <v>30</v>
      </c>
      <c r="C88" s="12">
        <f t="shared" si="16"/>
        <v>3</v>
      </c>
      <c r="D88" s="12">
        <f t="shared" si="16"/>
        <v>3</v>
      </c>
      <c r="E88" s="12">
        <f t="shared" si="16"/>
        <v>4</v>
      </c>
      <c r="F88" s="12">
        <f t="shared" si="16"/>
        <v>2</v>
      </c>
      <c r="G88" s="12">
        <f t="shared" si="16"/>
        <v>4</v>
      </c>
      <c r="H88" s="12">
        <f t="shared" si="16"/>
        <v>4</v>
      </c>
      <c r="I88" s="12">
        <f t="shared" si="16"/>
        <v>3</v>
      </c>
      <c r="J88" s="12">
        <f t="shared" si="16"/>
        <v>3</v>
      </c>
      <c r="K88" s="12">
        <f t="shared" si="16"/>
        <v>3</v>
      </c>
      <c r="L88" s="12">
        <f t="shared" si="16"/>
        <v>3</v>
      </c>
      <c r="M88" s="12">
        <f t="shared" si="16"/>
        <v>2</v>
      </c>
      <c r="N88" s="12">
        <f t="shared" si="16"/>
        <v>3</v>
      </c>
      <c r="O88" s="12">
        <f t="shared" si="16"/>
        <v>4</v>
      </c>
    </row>
    <row r="89" spans="1:15">
      <c r="A89" s="2" t="s">
        <v>31</v>
      </c>
      <c r="B89" s="11" t="s">
        <v>32</v>
      </c>
      <c r="C89" s="12">
        <f t="shared" si="16"/>
        <v>90</v>
      </c>
      <c r="D89" s="12">
        <f t="shared" si="16"/>
        <v>90</v>
      </c>
      <c r="E89" s="12">
        <f t="shared" si="16"/>
        <v>90</v>
      </c>
      <c r="F89" s="12">
        <f t="shared" si="16"/>
        <v>42</v>
      </c>
      <c r="G89" s="12">
        <f t="shared" si="16"/>
        <v>90</v>
      </c>
      <c r="H89" s="12">
        <f t="shared" si="16"/>
        <v>90</v>
      </c>
      <c r="I89" s="12">
        <f t="shared" si="16"/>
        <v>90</v>
      </c>
      <c r="J89" s="12">
        <f t="shared" si="16"/>
        <v>90</v>
      </c>
      <c r="K89" s="12">
        <f t="shared" si="16"/>
        <v>55</v>
      </c>
      <c r="L89" s="12">
        <f t="shared" si="16"/>
        <v>55</v>
      </c>
      <c r="M89" s="12">
        <f t="shared" si="16"/>
        <v>12</v>
      </c>
      <c r="N89" s="12">
        <f t="shared" si="16"/>
        <v>24</v>
      </c>
      <c r="O89" s="12">
        <f t="shared" si="16"/>
        <v>36</v>
      </c>
    </row>
    <row r="90" spans="1:15">
      <c r="A90" s="2" t="s">
        <v>69</v>
      </c>
      <c r="B90" s="11" t="s">
        <v>34</v>
      </c>
      <c r="C90" s="14">
        <f t="shared" ref="C90:O90" si="17">+C52</f>
        <v>5265</v>
      </c>
      <c r="D90" s="14">
        <f t="shared" si="17"/>
        <v>5265</v>
      </c>
      <c r="E90" s="14">
        <f t="shared" si="17"/>
        <v>5265</v>
      </c>
      <c r="F90" s="14">
        <f t="shared" si="17"/>
        <v>2457</v>
      </c>
      <c r="G90" s="14">
        <f t="shared" si="17"/>
        <v>5265</v>
      </c>
      <c r="H90" s="14">
        <f t="shared" si="17"/>
        <v>5265</v>
      </c>
      <c r="I90" s="14">
        <f t="shared" si="17"/>
        <v>5265</v>
      </c>
      <c r="J90" s="14">
        <f t="shared" si="17"/>
        <v>5265</v>
      </c>
      <c r="K90" s="14">
        <f t="shared" si="17"/>
        <v>3217.5</v>
      </c>
      <c r="L90" s="14">
        <f t="shared" si="17"/>
        <v>3217.5</v>
      </c>
      <c r="M90" s="14">
        <f t="shared" si="17"/>
        <v>702</v>
      </c>
      <c r="N90" s="14">
        <f t="shared" si="17"/>
        <v>1404</v>
      </c>
      <c r="O90" s="14">
        <f t="shared" si="17"/>
        <v>2106</v>
      </c>
    </row>
    <row r="91" spans="1:15" ht="16.5" thickBot="1">
      <c r="A91" s="5" t="s">
        <v>70</v>
      </c>
      <c r="B91" s="29" t="s">
        <v>36</v>
      </c>
      <c r="C91" s="34">
        <f t="shared" ref="C91:O91" si="18">+C54</f>
        <v>7065</v>
      </c>
      <c r="D91" s="34">
        <f t="shared" si="18"/>
        <v>7065</v>
      </c>
      <c r="E91" s="34">
        <f t="shared" si="18"/>
        <v>7065</v>
      </c>
      <c r="F91" s="34">
        <f t="shared" si="18"/>
        <v>3297</v>
      </c>
      <c r="G91" s="34">
        <f t="shared" si="18"/>
        <v>7065</v>
      </c>
      <c r="H91" s="34">
        <f t="shared" si="18"/>
        <v>7065</v>
      </c>
      <c r="I91" s="34">
        <f t="shared" si="18"/>
        <v>7065</v>
      </c>
      <c r="J91" s="34">
        <f t="shared" si="18"/>
        <v>7065</v>
      </c>
      <c r="K91" s="34">
        <f t="shared" si="18"/>
        <v>4317.5</v>
      </c>
      <c r="L91" s="34">
        <f t="shared" si="18"/>
        <v>4317.5</v>
      </c>
      <c r="M91" s="34">
        <f t="shared" si="18"/>
        <v>942</v>
      </c>
      <c r="N91" s="34">
        <f t="shared" si="18"/>
        <v>1884</v>
      </c>
      <c r="O91" s="34">
        <f t="shared" si="18"/>
        <v>2826</v>
      </c>
    </row>
    <row r="92" spans="1:15">
      <c r="A92" s="2" t="s">
        <v>73</v>
      </c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</row>
    <row r="93" spans="1:15">
      <c r="A93" s="31" t="s">
        <v>64</v>
      </c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</row>
  </sheetData>
  <mergeCells count="33">
    <mergeCell ref="A81:A85"/>
    <mergeCell ref="B81:B85"/>
    <mergeCell ref="C81:O81"/>
    <mergeCell ref="C82:H82"/>
    <mergeCell ref="I82:J82"/>
    <mergeCell ref="K82:M82"/>
    <mergeCell ref="N82:O82"/>
    <mergeCell ref="C83:F83"/>
    <mergeCell ref="G83:H83"/>
    <mergeCell ref="I83:J83"/>
    <mergeCell ref="K83:M83"/>
    <mergeCell ref="A3:A7"/>
    <mergeCell ref="B3:B7"/>
    <mergeCell ref="C3:O3"/>
    <mergeCell ref="C4:H4"/>
    <mergeCell ref="I4:J4"/>
    <mergeCell ref="K4:M4"/>
    <mergeCell ref="N4:O4"/>
    <mergeCell ref="C5:F5"/>
    <mergeCell ref="G5:H5"/>
    <mergeCell ref="I5:J5"/>
    <mergeCell ref="K5:M5"/>
    <mergeCell ref="A41:A45"/>
    <mergeCell ref="B41:B45"/>
    <mergeCell ref="C41:O41"/>
    <mergeCell ref="C42:H42"/>
    <mergeCell ref="I42:J42"/>
    <mergeCell ref="K42:M42"/>
    <mergeCell ref="N42:O42"/>
    <mergeCell ref="C43:F43"/>
    <mergeCell ref="G43:H43"/>
    <mergeCell ref="I43:J43"/>
    <mergeCell ref="K43:M43"/>
  </mergeCells>
  <pageMargins left="0.31496062992125984" right="0.31496062992125984" top="0.78740157480314965" bottom="0.78740157480314965" header="0.31496062992125984" footer="0.31496062992125984"/>
  <pageSetup paperSize="9" scale="60" orientation="landscape" r:id="rId1"/>
  <rowBreaks count="1" manualBreakCount="1">
    <brk id="3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9"/>
  <sheetViews>
    <sheetView workbookViewId="0">
      <selection activeCell="C9" sqref="C9"/>
    </sheetView>
  </sheetViews>
  <sheetFormatPr defaultRowHeight="15"/>
  <cols>
    <col min="1" max="1" width="49.28515625" style="32" customWidth="1"/>
    <col min="2" max="2" width="12.5703125" style="32" customWidth="1"/>
    <col min="3" max="3" width="13.85546875" style="32" customWidth="1"/>
    <col min="4" max="4" width="15.85546875" style="32" customWidth="1"/>
    <col min="5" max="5" width="16.42578125" style="32" customWidth="1"/>
    <col min="6" max="6" width="17.28515625" style="32" customWidth="1"/>
    <col min="7" max="7" width="16.28515625" style="32" customWidth="1"/>
    <col min="8" max="8" width="18.5703125" style="32" customWidth="1"/>
    <col min="9" max="9" width="16" style="32" customWidth="1"/>
    <col min="10" max="11" width="20" style="32" customWidth="1"/>
    <col min="12" max="12" width="16.28515625" style="32" customWidth="1"/>
    <col min="13" max="13" width="13.7109375" style="32" customWidth="1"/>
    <col min="14" max="15" width="14" style="32" customWidth="1"/>
  </cols>
  <sheetData>
    <row r="1" spans="1:15" ht="15.75">
      <c r="A1" s="1" t="s">
        <v>85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16.5" thickBot="1">
      <c r="A2" s="38" t="s">
        <v>86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5.75">
      <c r="A3" s="186" t="s">
        <v>1</v>
      </c>
      <c r="B3" s="186" t="s">
        <v>2</v>
      </c>
      <c r="C3" s="189" t="s">
        <v>3</v>
      </c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</row>
    <row r="4" spans="1:15" ht="15.75">
      <c r="A4" s="187"/>
      <c r="B4" s="187"/>
      <c r="C4" s="190" t="s">
        <v>4</v>
      </c>
      <c r="D4" s="190"/>
      <c r="E4" s="190"/>
      <c r="F4" s="190"/>
      <c r="G4" s="190"/>
      <c r="H4" s="35"/>
      <c r="I4" s="190" t="s">
        <v>5</v>
      </c>
      <c r="J4" s="190"/>
      <c r="K4" s="190" t="s">
        <v>6</v>
      </c>
      <c r="L4" s="190"/>
      <c r="M4" s="190"/>
      <c r="N4" s="190" t="s">
        <v>7</v>
      </c>
      <c r="O4" s="190"/>
    </row>
    <row r="5" spans="1:15" ht="15.75">
      <c r="A5" s="187"/>
      <c r="B5" s="187"/>
      <c r="C5" s="191" t="s">
        <v>8</v>
      </c>
      <c r="D5" s="191"/>
      <c r="E5" s="191"/>
      <c r="F5" s="191"/>
      <c r="G5" s="190" t="s">
        <v>9</v>
      </c>
      <c r="H5" s="190"/>
      <c r="I5" s="191" t="s">
        <v>10</v>
      </c>
      <c r="J5" s="191"/>
      <c r="K5" s="191" t="s">
        <v>11</v>
      </c>
      <c r="L5" s="191"/>
      <c r="M5" s="191"/>
      <c r="N5" s="35" t="s">
        <v>12</v>
      </c>
      <c r="O5" s="35" t="s">
        <v>13</v>
      </c>
    </row>
    <row r="6" spans="1:15" ht="15.75">
      <c r="A6" s="187"/>
      <c r="B6" s="187"/>
      <c r="C6" s="7" t="s">
        <v>14</v>
      </c>
      <c r="D6" s="36" t="str">
        <f>+C7</f>
        <v>Iguaçu</v>
      </c>
      <c r="E6" s="7" t="str">
        <f>+D7</f>
        <v>Desvio Ribas</v>
      </c>
      <c r="F6" s="36" t="s">
        <v>78</v>
      </c>
      <c r="G6" s="36" t="str">
        <f>+E7</f>
        <v>Guarapuava</v>
      </c>
      <c r="H6" s="36" t="str">
        <f>+G7</f>
        <v>Cascavel</v>
      </c>
      <c r="I6" s="7" t="s">
        <v>79</v>
      </c>
      <c r="J6" s="36" t="s">
        <v>15</v>
      </c>
      <c r="K6" s="36" t="str">
        <f>+J7</f>
        <v>Front. Argentina</v>
      </c>
      <c r="L6" s="36" t="str">
        <f>+K7</f>
        <v>J.V. Gonzalez</v>
      </c>
      <c r="M6" s="7" t="str">
        <f>+L7</f>
        <v>Salta</v>
      </c>
      <c r="N6" s="36" t="str">
        <f>+M7</f>
        <v>Socompa</v>
      </c>
      <c r="O6" s="7" t="str">
        <f>+N7</f>
        <v>A Victoria</v>
      </c>
    </row>
    <row r="7" spans="1:15" ht="16.5" thickBot="1">
      <c r="A7" s="188"/>
      <c r="B7" s="188"/>
      <c r="C7" s="37" t="s">
        <v>80</v>
      </c>
      <c r="D7" s="37" t="s">
        <v>16</v>
      </c>
      <c r="E7" s="37" t="s">
        <v>17</v>
      </c>
      <c r="F7" s="37" t="s">
        <v>81</v>
      </c>
      <c r="G7" s="37" t="s">
        <v>18</v>
      </c>
      <c r="H7" s="37" t="s">
        <v>82</v>
      </c>
      <c r="I7" s="37" t="s">
        <v>19</v>
      </c>
      <c r="J7" s="37" t="s">
        <v>83</v>
      </c>
      <c r="K7" s="37" t="s">
        <v>84</v>
      </c>
      <c r="L7" s="37" t="s">
        <v>20</v>
      </c>
      <c r="M7" s="37" t="s">
        <v>21</v>
      </c>
      <c r="N7" s="37" t="s">
        <v>22</v>
      </c>
      <c r="O7" s="37" t="s">
        <v>23</v>
      </c>
    </row>
    <row r="8" spans="1:15" ht="15.75">
      <c r="A8" s="10" t="s">
        <v>87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>
      <c r="A9" s="2" t="s">
        <v>88</v>
      </c>
      <c r="B9" s="11" t="s">
        <v>89</v>
      </c>
      <c r="C9" s="13">
        <f>+Premissas!C11</f>
        <v>11329000</v>
      </c>
      <c r="D9" s="13">
        <f>+Premissas!D11</f>
        <v>13000000</v>
      </c>
      <c r="E9" s="13">
        <f>+Premissas!E11</f>
        <v>1400000</v>
      </c>
      <c r="F9" s="13">
        <f>+Premissas!F11</f>
        <v>2500000</v>
      </c>
      <c r="G9" s="13">
        <f>+Premissas!G11</f>
        <v>1300000</v>
      </c>
      <c r="H9" s="13">
        <f>+Premissas!H11</f>
        <v>0</v>
      </c>
      <c r="I9" s="13">
        <f>+Premissas!I11</f>
        <v>0</v>
      </c>
      <c r="J9" s="13">
        <f>+Premissas!J11</f>
        <v>0</v>
      </c>
      <c r="K9" s="13">
        <f>+Premissas!K11</f>
        <v>480000</v>
      </c>
      <c r="L9" s="13">
        <f>+Premissas!L11</f>
        <v>320000</v>
      </c>
      <c r="M9" s="13">
        <f>+Premissas!M11</f>
        <v>0</v>
      </c>
      <c r="N9" s="13">
        <f>+Premissas!N11</f>
        <v>1200000</v>
      </c>
      <c r="O9" s="13">
        <f>+Premissas!O11</f>
        <v>2000000</v>
      </c>
    </row>
    <row r="10" spans="1:15">
      <c r="A10" s="2" t="s">
        <v>90</v>
      </c>
      <c r="B10" s="11" t="s">
        <v>51</v>
      </c>
      <c r="C10" s="19">
        <f>+Premissas!C16</f>
        <v>115.71</v>
      </c>
      <c r="D10" s="19">
        <f>+Premissas!D16</f>
        <v>117.465</v>
      </c>
      <c r="E10" s="19">
        <f>+Premissas!E16</f>
        <v>263.327</v>
      </c>
      <c r="F10" s="19">
        <f>+Premissas!F16</f>
        <v>276.75</v>
      </c>
      <c r="G10" s="19">
        <f>+Premissas!G16</f>
        <v>248</v>
      </c>
      <c r="H10" s="19">
        <f>+Premissas!H16</f>
        <v>173.6</v>
      </c>
      <c r="I10" s="19">
        <f>+Premissas!I16</f>
        <v>288.60000000000002</v>
      </c>
      <c r="J10" s="19">
        <f>+Premissas!J16</f>
        <v>324.05</v>
      </c>
      <c r="K10" s="19">
        <f>+Premissas!K16</f>
        <v>655.43499999999995</v>
      </c>
      <c r="L10" s="19">
        <f>+Premissas!L16</f>
        <v>262.89999999999998</v>
      </c>
      <c r="M10" s="19">
        <f>+Premissas!M16</f>
        <v>571</v>
      </c>
      <c r="N10" s="19">
        <f>+Premissas!N16</f>
        <v>181</v>
      </c>
      <c r="O10" s="19">
        <f>+Premissas!O16</f>
        <v>159</v>
      </c>
    </row>
    <row r="11" spans="1:15">
      <c r="A11" s="2" t="s">
        <v>91</v>
      </c>
      <c r="B11" s="11" t="s">
        <v>92</v>
      </c>
      <c r="C11" s="39">
        <f>+Premissas!C38</f>
        <v>1</v>
      </c>
      <c r="D11" s="39">
        <f>+Premissas!D38</f>
        <v>0.9</v>
      </c>
      <c r="E11" s="39">
        <f>+Premissas!E38</f>
        <v>1</v>
      </c>
      <c r="F11" s="39">
        <f>+Premissas!F38</f>
        <v>0.85</v>
      </c>
      <c r="G11" s="39">
        <f>+Premissas!G38</f>
        <v>1</v>
      </c>
      <c r="H11" s="39">
        <f>+Premissas!H38</f>
        <v>1</v>
      </c>
      <c r="I11" s="39">
        <f>+Premissas!I38</f>
        <v>0.9</v>
      </c>
      <c r="J11" s="39">
        <f>+Premissas!J38</f>
        <v>0.9</v>
      </c>
      <c r="K11" s="39">
        <f>+Premissas!K38</f>
        <v>0.85</v>
      </c>
      <c r="L11" s="39">
        <f>+Premissas!L38</f>
        <v>0.85</v>
      </c>
      <c r="M11" s="39">
        <f>+Premissas!M38</f>
        <v>1</v>
      </c>
      <c r="N11" s="39">
        <f>+Premissas!N38</f>
        <v>1</v>
      </c>
      <c r="O11" s="39">
        <f>+Premissas!O38</f>
        <v>0.75</v>
      </c>
    </row>
    <row r="12" spans="1:15">
      <c r="A12" s="2" t="s">
        <v>93</v>
      </c>
      <c r="B12" s="11" t="s">
        <v>51</v>
      </c>
      <c r="C12" s="19">
        <f>+C10*C11</f>
        <v>115.71</v>
      </c>
      <c r="D12" s="19">
        <f t="shared" ref="D12:O12" si="0">+D10*D11</f>
        <v>105.71850000000001</v>
      </c>
      <c r="E12" s="19">
        <f t="shared" si="0"/>
        <v>263.327</v>
      </c>
      <c r="F12" s="19">
        <f t="shared" si="0"/>
        <v>235.23749999999998</v>
      </c>
      <c r="G12" s="19">
        <f t="shared" si="0"/>
        <v>248</v>
      </c>
      <c r="H12" s="19">
        <f t="shared" si="0"/>
        <v>173.6</v>
      </c>
      <c r="I12" s="19">
        <f t="shared" si="0"/>
        <v>259.74</v>
      </c>
      <c r="J12" s="19">
        <f t="shared" si="0"/>
        <v>291.64500000000004</v>
      </c>
      <c r="K12" s="19">
        <f t="shared" si="0"/>
        <v>557.11974999999995</v>
      </c>
      <c r="L12" s="19">
        <f t="shared" si="0"/>
        <v>223.46499999999997</v>
      </c>
      <c r="M12" s="19">
        <f t="shared" si="0"/>
        <v>571</v>
      </c>
      <c r="N12" s="19">
        <f t="shared" si="0"/>
        <v>181</v>
      </c>
      <c r="O12" s="19">
        <f t="shared" si="0"/>
        <v>119.25</v>
      </c>
    </row>
    <row r="13" spans="1:15">
      <c r="A13" s="2" t="s">
        <v>94</v>
      </c>
      <c r="B13" s="18" t="s">
        <v>95</v>
      </c>
      <c r="C13" s="13">
        <f>+C9*C12/1000</f>
        <v>1310878.5900000001</v>
      </c>
      <c r="D13" s="13">
        <f t="shared" ref="D13:O13" si="1">+D9*D12/1000</f>
        <v>1374340.5</v>
      </c>
      <c r="E13" s="13">
        <f t="shared" si="1"/>
        <v>368657.8</v>
      </c>
      <c r="F13" s="13">
        <f t="shared" si="1"/>
        <v>588093.75</v>
      </c>
      <c r="G13" s="13">
        <f t="shared" si="1"/>
        <v>322400</v>
      </c>
      <c r="H13" s="13">
        <f t="shared" si="1"/>
        <v>0</v>
      </c>
      <c r="I13" s="13">
        <f t="shared" si="1"/>
        <v>0</v>
      </c>
      <c r="J13" s="13">
        <f t="shared" si="1"/>
        <v>0</v>
      </c>
      <c r="K13" s="13">
        <f t="shared" si="1"/>
        <v>267417.48</v>
      </c>
      <c r="L13" s="13">
        <f t="shared" si="1"/>
        <v>71508.799999999988</v>
      </c>
      <c r="M13" s="13">
        <f t="shared" si="1"/>
        <v>0</v>
      </c>
      <c r="N13" s="13">
        <f t="shared" si="1"/>
        <v>217200</v>
      </c>
      <c r="O13" s="13">
        <f t="shared" si="1"/>
        <v>238500</v>
      </c>
    </row>
    <row r="14" spans="1:15">
      <c r="A14" s="2" t="s">
        <v>96</v>
      </c>
      <c r="B14" s="11" t="s">
        <v>92</v>
      </c>
      <c r="C14" s="40">
        <f>+Premissas!C46</f>
        <v>80</v>
      </c>
      <c r="D14" s="40">
        <f>+Premissas!D46</f>
        <v>80</v>
      </c>
      <c r="E14" s="40">
        <f>+Premissas!E46</f>
        <v>80</v>
      </c>
      <c r="F14" s="40">
        <f>+Premissas!F46</f>
        <v>80</v>
      </c>
      <c r="G14" s="40">
        <f>+Premissas!G46</f>
        <v>80</v>
      </c>
      <c r="H14" s="40">
        <f>+Premissas!H46</f>
        <v>80</v>
      </c>
      <c r="I14" s="40">
        <f>+Premissas!I46</f>
        <v>80</v>
      </c>
      <c r="J14" s="40">
        <f>+Premissas!J46</f>
        <v>80</v>
      </c>
      <c r="K14" s="40">
        <f>+Premissas!K46</f>
        <v>80</v>
      </c>
      <c r="L14" s="40">
        <f>+Premissas!L46</f>
        <v>80</v>
      </c>
      <c r="M14" s="40">
        <f>+Premissas!M46</f>
        <v>80</v>
      </c>
      <c r="N14" s="40">
        <f>+Premissas!N46</f>
        <v>80</v>
      </c>
      <c r="O14" s="40">
        <f>+Premissas!O46</f>
        <v>80</v>
      </c>
    </row>
    <row r="15" spans="1:15">
      <c r="A15" s="15" t="s">
        <v>97</v>
      </c>
      <c r="B15" s="16" t="s">
        <v>92</v>
      </c>
      <c r="C15" s="41">
        <f>+Premissas!C61</f>
        <v>90</v>
      </c>
      <c r="D15" s="41">
        <f>+Premissas!D61</f>
        <v>90</v>
      </c>
      <c r="E15" s="41">
        <f>+Premissas!E61</f>
        <v>90</v>
      </c>
      <c r="F15" s="41">
        <f>+Premissas!F61</f>
        <v>90</v>
      </c>
      <c r="G15" s="41">
        <f>+Premissas!G61</f>
        <v>90</v>
      </c>
      <c r="H15" s="41">
        <f>+Premissas!H61</f>
        <v>90</v>
      </c>
      <c r="I15" s="41">
        <f>+Premissas!I61</f>
        <v>90</v>
      </c>
      <c r="J15" s="41">
        <f>+Premissas!J61</f>
        <v>90</v>
      </c>
      <c r="K15" s="41">
        <f>+Premissas!K61</f>
        <v>90</v>
      </c>
      <c r="L15" s="41">
        <f>+Premissas!L61</f>
        <v>90</v>
      </c>
      <c r="M15" s="41">
        <f>+Premissas!M61</f>
        <v>90</v>
      </c>
      <c r="N15" s="41">
        <f>+Premissas!N61</f>
        <v>90</v>
      </c>
      <c r="O15" s="41">
        <f>+Premissas!O61</f>
        <v>90</v>
      </c>
    </row>
    <row r="16" spans="1:15" ht="15.75">
      <c r="A16" s="10" t="s">
        <v>98</v>
      </c>
      <c r="B16" s="11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1:15">
      <c r="A17" s="2" t="s">
        <v>29</v>
      </c>
      <c r="B17" s="11" t="s">
        <v>30</v>
      </c>
      <c r="C17" s="2">
        <f>+'Trens Atuais'!C31</f>
        <v>2</v>
      </c>
      <c r="D17" s="2">
        <f>+'Trens Atuais'!D31</f>
        <v>3</v>
      </c>
      <c r="E17" s="2">
        <f>+'Trens Atuais'!E31</f>
        <v>3</v>
      </c>
      <c r="F17" s="2">
        <f>+'Trens Atuais'!F31</f>
        <v>3</v>
      </c>
      <c r="G17" s="2">
        <f>+'Trens Atuais'!G31</f>
        <v>3</v>
      </c>
      <c r="H17" s="2">
        <f>+'Trens Atuais'!H31</f>
        <v>3</v>
      </c>
      <c r="I17" s="2">
        <f>+'Trens Atuais'!I31</f>
        <v>2</v>
      </c>
      <c r="J17" s="2">
        <f>+'Trens Atuais'!J31</f>
        <v>2</v>
      </c>
      <c r="K17" s="2">
        <f>+'Trens Atuais'!K31</f>
        <v>3</v>
      </c>
      <c r="L17" s="2">
        <f>+'Trens Atuais'!L31</f>
        <v>3</v>
      </c>
      <c r="M17" s="2">
        <f>+'Trens Atuais'!M31</f>
        <v>2</v>
      </c>
      <c r="N17" s="2">
        <f>+'Trens Atuais'!N31</f>
        <v>3</v>
      </c>
      <c r="O17" s="2">
        <f>+'Trens Atuais'!O31</f>
        <v>3</v>
      </c>
    </row>
    <row r="18" spans="1:15">
      <c r="A18" s="2" t="s">
        <v>31</v>
      </c>
      <c r="B18" s="11" t="s">
        <v>32</v>
      </c>
      <c r="C18" s="2">
        <f>+'Trens Atuais'!C32</f>
        <v>45</v>
      </c>
      <c r="D18" s="2">
        <f>+'Trens Atuais'!D32</f>
        <v>84</v>
      </c>
      <c r="E18" s="2">
        <f>+'Trens Atuais'!E32</f>
        <v>40</v>
      </c>
      <c r="F18" s="2">
        <f>+'Trens Atuais'!F32</f>
        <v>28</v>
      </c>
      <c r="G18" s="2">
        <f>+'Trens Atuais'!G32</f>
        <v>33</v>
      </c>
      <c r="H18" s="2">
        <f>+'Trens Atuais'!H32</f>
        <v>65</v>
      </c>
      <c r="I18" s="2">
        <f>+'Trens Atuais'!I32</f>
        <v>65</v>
      </c>
      <c r="J18" s="2">
        <f>+'Trens Atuais'!J32</f>
        <v>65</v>
      </c>
      <c r="K18" s="2">
        <f>+'Trens Atuais'!K32</f>
        <v>45</v>
      </c>
      <c r="L18" s="2">
        <f>+'Trens Atuais'!L32</f>
        <v>45</v>
      </c>
      <c r="M18" s="2">
        <f>+'Trens Atuais'!M32</f>
        <v>12</v>
      </c>
      <c r="N18" s="2">
        <f>+'Trens Atuais'!N32</f>
        <v>24</v>
      </c>
      <c r="O18" s="2">
        <f>+'Trens Atuais'!O32</f>
        <v>24</v>
      </c>
    </row>
    <row r="19" spans="1:15">
      <c r="A19" s="2" t="s">
        <v>99</v>
      </c>
      <c r="B19" s="11" t="s">
        <v>34</v>
      </c>
      <c r="C19" s="13">
        <f>+'Trens Atuais'!C33</f>
        <v>2700</v>
      </c>
      <c r="D19" s="13">
        <f>+'Trens Atuais'!D33</f>
        <v>5040</v>
      </c>
      <c r="E19" s="13">
        <f>+'Trens Atuais'!E33</f>
        <v>2400</v>
      </c>
      <c r="F19" s="13">
        <f>+'Trens Atuais'!F33</f>
        <v>1680</v>
      </c>
      <c r="G19" s="13">
        <f>+'Trens Atuais'!G33</f>
        <v>1980</v>
      </c>
      <c r="H19" s="13">
        <f>+'Trens Atuais'!H33</f>
        <v>3900</v>
      </c>
      <c r="I19" s="13">
        <f>+'Trens Atuais'!I33</f>
        <v>3900</v>
      </c>
      <c r="J19" s="13">
        <f>+'Trens Atuais'!J33</f>
        <v>3900</v>
      </c>
      <c r="K19" s="13">
        <f>+'Trens Atuais'!K33</f>
        <v>2025</v>
      </c>
      <c r="L19" s="13">
        <f>+'Trens Atuais'!L33</f>
        <v>2025</v>
      </c>
      <c r="M19" s="13">
        <f>+'Trens Atuais'!M33</f>
        <v>540</v>
      </c>
      <c r="N19" s="13">
        <f>+'Trens Atuais'!N33</f>
        <v>1080</v>
      </c>
      <c r="O19" s="13">
        <f>+'Trens Atuais'!O33</f>
        <v>1080</v>
      </c>
    </row>
    <row r="20" spans="1:15">
      <c r="A20" s="2" t="s">
        <v>37</v>
      </c>
      <c r="B20" s="11" t="s">
        <v>38</v>
      </c>
      <c r="C20" s="19">
        <f>+C9/C24*C12</f>
        <v>312417</v>
      </c>
      <c r="D20" s="19">
        <f t="shared" ref="D20:O20" si="2">+D9/D24*D12</f>
        <v>532821.24</v>
      </c>
      <c r="E20" s="19">
        <f t="shared" si="2"/>
        <v>631984.80000000005</v>
      </c>
      <c r="F20" s="19">
        <f t="shared" si="2"/>
        <v>395199</v>
      </c>
      <c r="G20" s="19">
        <f t="shared" si="2"/>
        <v>491040</v>
      </c>
      <c r="H20" s="19">
        <v>0</v>
      </c>
      <c r="I20" s="19">
        <v>0</v>
      </c>
      <c r="J20" s="19">
        <v>0</v>
      </c>
      <c r="K20" s="19">
        <f t="shared" si="2"/>
        <v>1128167.4937499999</v>
      </c>
      <c r="L20" s="19">
        <f t="shared" si="2"/>
        <v>452516.62499999994</v>
      </c>
      <c r="M20" s="19">
        <v>0</v>
      </c>
      <c r="N20" s="19">
        <f t="shared" si="2"/>
        <v>195480</v>
      </c>
      <c r="O20" s="19">
        <f t="shared" si="2"/>
        <v>128790</v>
      </c>
    </row>
    <row r="21" spans="1:15">
      <c r="A21" s="2" t="s">
        <v>35</v>
      </c>
      <c r="B21" s="11" t="s">
        <v>36</v>
      </c>
      <c r="C21" s="13">
        <f>+'Trens Atuais'!C34</f>
        <v>3600</v>
      </c>
      <c r="D21" s="13">
        <f>+'Trens Atuais'!D34</f>
        <v>6720</v>
      </c>
      <c r="E21" s="13">
        <f>+'Trens Atuais'!E34</f>
        <v>3200</v>
      </c>
      <c r="F21" s="13">
        <f>+'Trens Atuais'!F34</f>
        <v>2240</v>
      </c>
      <c r="G21" s="13">
        <f>+'Trens Atuais'!G34</f>
        <v>2640</v>
      </c>
      <c r="H21" s="13">
        <f>+'Trens Atuais'!H34</f>
        <v>5200</v>
      </c>
      <c r="I21" s="13">
        <f>+'Trens Atuais'!I34</f>
        <v>5200</v>
      </c>
      <c r="J21" s="13">
        <f>+'Trens Atuais'!J34</f>
        <v>5200</v>
      </c>
      <c r="K21" s="13">
        <f>+'Trens Atuais'!K34</f>
        <v>2925</v>
      </c>
      <c r="L21" s="13">
        <f>+'Trens Atuais'!L34</f>
        <v>2925</v>
      </c>
      <c r="M21" s="13">
        <f>+'Trens Atuais'!M34</f>
        <v>780</v>
      </c>
      <c r="N21" s="13">
        <f>+'Trens Atuais'!N34</f>
        <v>1560</v>
      </c>
      <c r="O21" s="13">
        <f>+'Trens Atuais'!O34</f>
        <v>1560</v>
      </c>
    </row>
    <row r="22" spans="1:15">
      <c r="A22" s="2" t="s">
        <v>100</v>
      </c>
      <c r="B22" s="11" t="s">
        <v>40</v>
      </c>
      <c r="C22" s="42">
        <f>+'Trens Atuais'!C35</f>
        <v>764</v>
      </c>
      <c r="D22" s="42">
        <f>+'Trens Atuais'!D35</f>
        <v>1419</v>
      </c>
      <c r="E22" s="42">
        <f>+'Trens Atuais'!E35</f>
        <v>706</v>
      </c>
      <c r="F22" s="42">
        <f>+'Trens Atuais'!F35</f>
        <v>514</v>
      </c>
      <c r="G22" s="42">
        <f>+'Trens Atuais'!G35</f>
        <v>603</v>
      </c>
      <c r="H22" s="42">
        <f>+'Trens Atuais'!H35</f>
        <v>1115</v>
      </c>
      <c r="I22" s="42">
        <f>+'Trens Atuais'!I35</f>
        <v>1090</v>
      </c>
      <c r="J22" s="42">
        <f>+'Trens Atuais'!J35</f>
        <v>1090</v>
      </c>
      <c r="K22" s="42">
        <f>+'Trens Atuais'!K35</f>
        <v>741</v>
      </c>
      <c r="L22" s="42">
        <f>+'Trens Atuais'!L35</f>
        <v>741</v>
      </c>
      <c r="M22" s="42">
        <f>+'Trens Atuais'!M35</f>
        <v>224</v>
      </c>
      <c r="N22" s="42">
        <f>+'Trens Atuais'!N35</f>
        <v>426</v>
      </c>
      <c r="O22" s="42">
        <f>+'Trens Atuais'!O35</f>
        <v>426</v>
      </c>
    </row>
    <row r="23" spans="1:15">
      <c r="A23" s="2" t="s">
        <v>101</v>
      </c>
      <c r="B23" s="11" t="s">
        <v>40</v>
      </c>
      <c r="C23" s="19">
        <f>+C22+Premissas!C97*2+Premissas!C98</f>
        <v>975.34</v>
      </c>
      <c r="D23" s="19">
        <f>+D22+Premissas!D97*2+Premissas!D98</f>
        <v>1630.34</v>
      </c>
      <c r="E23" s="19">
        <f>+E22+Premissas!E97*2+Premissas!E98</f>
        <v>917.34</v>
      </c>
      <c r="F23" s="19">
        <f>+F22+Premissas!F97*2+Premissas!F98</f>
        <v>725.34</v>
      </c>
      <c r="G23" s="19">
        <f>+G22+Premissas!G97*2+Premissas!G98</f>
        <v>814.34</v>
      </c>
      <c r="H23" s="19">
        <f>+H22+Premissas!H97*2+Premissas!H98</f>
        <v>1326.34</v>
      </c>
      <c r="I23" s="19">
        <f>+I22+Premissas!I97*2+Premissas!I98</f>
        <v>1301.3399999999999</v>
      </c>
      <c r="J23" s="19">
        <f>+J22+Premissas!J97*2+Premissas!J98</f>
        <v>1301.3399999999999</v>
      </c>
      <c r="K23" s="19">
        <f>+K22+Premissas!K97*2+Premissas!K98</f>
        <v>952.34</v>
      </c>
      <c r="L23" s="19">
        <f>+L22+Premissas!L97*2+Premissas!L98</f>
        <v>952.34</v>
      </c>
      <c r="M23" s="19">
        <f>+M22+Premissas!M97*2+Premissas!M98</f>
        <v>435.34000000000003</v>
      </c>
      <c r="N23" s="19">
        <f>+N22+Premissas!N97*2+Premissas!N98</f>
        <v>637.34</v>
      </c>
      <c r="O23" s="19">
        <f>+O22+Premissas!O97*2+Premissas!O98</f>
        <v>637.34</v>
      </c>
    </row>
    <row r="24" spans="1:15">
      <c r="A24" s="2" t="s">
        <v>102</v>
      </c>
      <c r="B24" s="11" t="s">
        <v>103</v>
      </c>
      <c r="C24" s="19">
        <f>+C9/C19</f>
        <v>4195.9259259259261</v>
      </c>
      <c r="D24" s="19">
        <f t="shared" ref="D24:O24" si="3">+D9/D19</f>
        <v>2579.3650793650795</v>
      </c>
      <c r="E24" s="19">
        <f t="shared" si="3"/>
        <v>583.33333333333337</v>
      </c>
      <c r="F24" s="19">
        <f t="shared" si="3"/>
        <v>1488.0952380952381</v>
      </c>
      <c r="G24" s="19">
        <f t="shared" si="3"/>
        <v>656.56565656565658</v>
      </c>
      <c r="H24" s="19">
        <f t="shared" si="3"/>
        <v>0</v>
      </c>
      <c r="I24" s="19">
        <f t="shared" si="3"/>
        <v>0</v>
      </c>
      <c r="J24" s="19">
        <f t="shared" si="3"/>
        <v>0</v>
      </c>
      <c r="K24" s="19">
        <f t="shared" si="3"/>
        <v>237.03703703703704</v>
      </c>
      <c r="L24" s="19">
        <f t="shared" si="3"/>
        <v>158.02469135802468</v>
      </c>
      <c r="M24" s="19">
        <f t="shared" si="3"/>
        <v>0</v>
      </c>
      <c r="N24" s="19">
        <f t="shared" si="3"/>
        <v>1111.1111111111111</v>
      </c>
      <c r="O24" s="19">
        <f t="shared" si="3"/>
        <v>1851.851851851852</v>
      </c>
    </row>
    <row r="25" spans="1:15">
      <c r="A25" s="2" t="s">
        <v>104</v>
      </c>
      <c r="B25" s="11" t="s">
        <v>105</v>
      </c>
      <c r="C25" s="13">
        <f>+Premissas!C107</f>
        <v>330</v>
      </c>
      <c r="D25" s="13">
        <f>+Premissas!D107</f>
        <v>330</v>
      </c>
      <c r="E25" s="13">
        <f>+Premissas!E107</f>
        <v>330</v>
      </c>
      <c r="F25" s="13">
        <f>+Premissas!F107</f>
        <v>330</v>
      </c>
      <c r="G25" s="13">
        <f>+Premissas!G107</f>
        <v>330</v>
      </c>
      <c r="H25" s="13">
        <f>+Premissas!H107</f>
        <v>330</v>
      </c>
      <c r="I25" s="13">
        <f>+Premissas!I107</f>
        <v>330</v>
      </c>
      <c r="J25" s="13">
        <f>+Premissas!J107</f>
        <v>330</v>
      </c>
      <c r="K25" s="13">
        <f>+Premissas!K107</f>
        <v>330</v>
      </c>
      <c r="L25" s="13">
        <f>+Premissas!L107</f>
        <v>330</v>
      </c>
      <c r="M25" s="13">
        <f>+Premissas!M107</f>
        <v>300</v>
      </c>
      <c r="N25" s="13">
        <f>+Premissas!N107</f>
        <v>330</v>
      </c>
      <c r="O25" s="13">
        <f>+Premissas!O107</f>
        <v>330</v>
      </c>
    </row>
    <row r="26" spans="1:15">
      <c r="A26" s="2" t="s">
        <v>106</v>
      </c>
      <c r="B26" s="11" t="s">
        <v>107</v>
      </c>
      <c r="C26" s="42">
        <f>+C24/C25</f>
        <v>12.714927048260382</v>
      </c>
      <c r="D26" s="42">
        <f t="shared" ref="D26:O26" si="4">+D24/D25</f>
        <v>7.8162578162578171</v>
      </c>
      <c r="E26" s="42">
        <f t="shared" si="4"/>
        <v>1.7676767676767677</v>
      </c>
      <c r="F26" s="42">
        <f t="shared" si="4"/>
        <v>4.5093795093795093</v>
      </c>
      <c r="G26" s="42">
        <f t="shared" si="4"/>
        <v>1.9895928986838078</v>
      </c>
      <c r="H26" s="42">
        <f t="shared" si="4"/>
        <v>0</v>
      </c>
      <c r="I26" s="42">
        <f t="shared" si="4"/>
        <v>0</v>
      </c>
      <c r="J26" s="42">
        <f t="shared" si="4"/>
        <v>0</v>
      </c>
      <c r="K26" s="42">
        <f t="shared" si="4"/>
        <v>0.71829405162738491</v>
      </c>
      <c r="L26" s="42">
        <f t="shared" si="4"/>
        <v>0.47886270108492329</v>
      </c>
      <c r="M26" s="42">
        <f t="shared" si="4"/>
        <v>0</v>
      </c>
      <c r="N26" s="42">
        <f t="shared" si="4"/>
        <v>3.3670033670033668</v>
      </c>
      <c r="O26" s="42">
        <f t="shared" si="4"/>
        <v>5.6116722783389452</v>
      </c>
    </row>
    <row r="27" spans="1:15">
      <c r="A27" s="2" t="s">
        <v>108</v>
      </c>
      <c r="B27" s="11" t="s">
        <v>92</v>
      </c>
      <c r="C27" s="43">
        <f>+Premissas!C105/100</f>
        <v>0.2</v>
      </c>
      <c r="D27" s="43">
        <f>+Premissas!D105/100</f>
        <v>0.2</v>
      </c>
      <c r="E27" s="43">
        <f>+Premissas!E105/100</f>
        <v>0.2</v>
      </c>
      <c r="F27" s="43">
        <f>+Premissas!F105/100</f>
        <v>0.2</v>
      </c>
      <c r="G27" s="43">
        <f>+Premissas!G105/100</f>
        <v>0.2</v>
      </c>
      <c r="H27" s="43">
        <f>+Premissas!H105/100</f>
        <v>0.2</v>
      </c>
      <c r="I27" s="43">
        <f>+Premissas!I105/100</f>
        <v>0.2</v>
      </c>
      <c r="J27" s="43">
        <f>+Premissas!J105/100</f>
        <v>0.2</v>
      </c>
      <c r="K27" s="43">
        <f>+Premissas!K105/100</f>
        <v>0.2</v>
      </c>
      <c r="L27" s="43">
        <f>+Premissas!L105/100</f>
        <v>0.2</v>
      </c>
      <c r="M27" s="43">
        <f>+Premissas!M105/100</f>
        <v>0.1</v>
      </c>
      <c r="N27" s="43">
        <f>+Premissas!N105/100</f>
        <v>0.1</v>
      </c>
      <c r="O27" s="43">
        <f>+Premissas!O105/100</f>
        <v>0.1</v>
      </c>
    </row>
    <row r="28" spans="1:15">
      <c r="A28" s="2" t="s">
        <v>109</v>
      </c>
      <c r="B28" s="11" t="s">
        <v>107</v>
      </c>
      <c r="C28" s="42">
        <f>+C26+C26*C27</f>
        <v>15.257912457912457</v>
      </c>
      <c r="D28" s="42">
        <f t="shared" ref="D28:O28" si="5">+D26+D26*D27</f>
        <v>9.3795093795093809</v>
      </c>
      <c r="E28" s="42">
        <f t="shared" si="5"/>
        <v>2.1212121212121211</v>
      </c>
      <c r="F28" s="42">
        <f t="shared" si="5"/>
        <v>5.4112554112554108</v>
      </c>
      <c r="G28" s="42">
        <f t="shared" si="5"/>
        <v>2.3875114784205693</v>
      </c>
      <c r="H28" s="42">
        <f t="shared" si="5"/>
        <v>0</v>
      </c>
      <c r="I28" s="42">
        <f t="shared" si="5"/>
        <v>0</v>
      </c>
      <c r="J28" s="42">
        <f t="shared" si="5"/>
        <v>0</v>
      </c>
      <c r="K28" s="42">
        <f t="shared" si="5"/>
        <v>0.86195286195286192</v>
      </c>
      <c r="L28" s="42">
        <f t="shared" si="5"/>
        <v>0.57463524130190802</v>
      </c>
      <c r="M28" s="42">
        <f t="shared" si="5"/>
        <v>0</v>
      </c>
      <c r="N28" s="42">
        <f t="shared" si="5"/>
        <v>3.7037037037037033</v>
      </c>
      <c r="O28" s="42">
        <f t="shared" si="5"/>
        <v>6.1728395061728394</v>
      </c>
    </row>
    <row r="29" spans="1:15">
      <c r="A29" s="2" t="s">
        <v>110</v>
      </c>
      <c r="B29" s="11" t="s">
        <v>111</v>
      </c>
      <c r="C29" s="42">
        <f>+'Trens Atuais'!C23</f>
        <v>60</v>
      </c>
      <c r="D29" s="42">
        <f>+'Trens Atuais'!D23</f>
        <v>60</v>
      </c>
      <c r="E29" s="42">
        <f>+'Trens Atuais'!E23</f>
        <v>60</v>
      </c>
      <c r="F29" s="42">
        <f>+'Trens Atuais'!F23</f>
        <v>60</v>
      </c>
      <c r="G29" s="42">
        <f>+'Trens Atuais'!G23</f>
        <v>60</v>
      </c>
      <c r="H29" s="42">
        <f>+'Trens Atuais'!H23</f>
        <v>60</v>
      </c>
      <c r="I29" s="42">
        <f>+'Trens Atuais'!I23</f>
        <v>60</v>
      </c>
      <c r="J29" s="42">
        <f>+'Trens Atuais'!J23</f>
        <v>60</v>
      </c>
      <c r="K29" s="42">
        <f>+'Trens Atuais'!K23</f>
        <v>60</v>
      </c>
      <c r="L29" s="42">
        <f>+'Trens Atuais'!L23</f>
        <v>60</v>
      </c>
      <c r="M29" s="42">
        <f>+'Trens Atuais'!M23</f>
        <v>60</v>
      </c>
      <c r="N29" s="42">
        <f>+'Trens Atuais'!N23</f>
        <v>60</v>
      </c>
      <c r="O29" s="42">
        <f>+'Trens Atuais'!O23</f>
        <v>60</v>
      </c>
    </row>
    <row r="30" spans="1:15">
      <c r="A30" s="2" t="s">
        <v>112</v>
      </c>
      <c r="B30" s="11" t="s">
        <v>111</v>
      </c>
      <c r="C30" s="42">
        <f>+C19/C18</f>
        <v>60</v>
      </c>
      <c r="D30" s="42">
        <f t="shared" ref="D30:O30" si="6">+D19/D18</f>
        <v>60</v>
      </c>
      <c r="E30" s="42">
        <f t="shared" si="6"/>
        <v>60</v>
      </c>
      <c r="F30" s="42">
        <f t="shared" si="6"/>
        <v>60</v>
      </c>
      <c r="G30" s="42">
        <f t="shared" si="6"/>
        <v>60</v>
      </c>
      <c r="H30" s="42">
        <f t="shared" si="6"/>
        <v>60</v>
      </c>
      <c r="I30" s="42">
        <f t="shared" si="6"/>
        <v>60</v>
      </c>
      <c r="J30" s="42">
        <f t="shared" si="6"/>
        <v>60</v>
      </c>
      <c r="K30" s="42">
        <f t="shared" si="6"/>
        <v>45</v>
      </c>
      <c r="L30" s="42">
        <f t="shared" si="6"/>
        <v>45</v>
      </c>
      <c r="M30" s="42">
        <f t="shared" si="6"/>
        <v>45</v>
      </c>
      <c r="N30" s="42">
        <f t="shared" si="6"/>
        <v>45</v>
      </c>
      <c r="O30" s="42">
        <f t="shared" si="6"/>
        <v>45</v>
      </c>
    </row>
    <row r="31" spans="1:15">
      <c r="A31" s="2" t="s">
        <v>113</v>
      </c>
      <c r="B31" s="11" t="s">
        <v>111</v>
      </c>
      <c r="C31" s="42">
        <f>+Premissas!C60</f>
        <v>20</v>
      </c>
      <c r="D31" s="42">
        <f>+Premissas!D60</f>
        <v>20</v>
      </c>
      <c r="E31" s="42">
        <f>+Premissas!E60</f>
        <v>20</v>
      </c>
      <c r="F31" s="42">
        <f>+Premissas!F60</f>
        <v>20</v>
      </c>
      <c r="G31" s="42">
        <f>+Premissas!G60</f>
        <v>20</v>
      </c>
      <c r="H31" s="42">
        <f>+Premissas!H60</f>
        <v>20</v>
      </c>
      <c r="I31" s="42">
        <f>+Premissas!I60</f>
        <v>20</v>
      </c>
      <c r="J31" s="42">
        <f>+Premissas!J60</f>
        <v>20</v>
      </c>
      <c r="K31" s="42">
        <f>+Premissas!K60</f>
        <v>20</v>
      </c>
      <c r="L31" s="42">
        <f>+Premissas!L60</f>
        <v>20</v>
      </c>
      <c r="M31" s="42">
        <f>+Premissas!M60</f>
        <v>20</v>
      </c>
      <c r="N31" s="42">
        <f>+Premissas!N60</f>
        <v>20</v>
      </c>
      <c r="O31" s="42">
        <f>+Premissas!O60</f>
        <v>20</v>
      </c>
    </row>
    <row r="32" spans="1:15">
      <c r="A32" s="2" t="s">
        <v>114</v>
      </c>
      <c r="B32" s="11" t="s">
        <v>111</v>
      </c>
      <c r="C32" s="44">
        <f>+C31+C29</f>
        <v>80</v>
      </c>
      <c r="D32" s="44">
        <f t="shared" ref="D32:O32" si="7">+D31+D29</f>
        <v>80</v>
      </c>
      <c r="E32" s="44">
        <f t="shared" si="7"/>
        <v>80</v>
      </c>
      <c r="F32" s="44">
        <f t="shared" si="7"/>
        <v>80</v>
      </c>
      <c r="G32" s="44">
        <f t="shared" si="7"/>
        <v>80</v>
      </c>
      <c r="H32" s="44">
        <f t="shared" si="7"/>
        <v>80</v>
      </c>
      <c r="I32" s="44">
        <f t="shared" si="7"/>
        <v>80</v>
      </c>
      <c r="J32" s="44">
        <f t="shared" si="7"/>
        <v>80</v>
      </c>
      <c r="K32" s="44">
        <f t="shared" si="7"/>
        <v>80</v>
      </c>
      <c r="L32" s="44">
        <f t="shared" si="7"/>
        <v>80</v>
      </c>
      <c r="M32" s="44">
        <f t="shared" si="7"/>
        <v>80</v>
      </c>
      <c r="N32" s="44">
        <f t="shared" si="7"/>
        <v>80</v>
      </c>
      <c r="O32" s="44">
        <f t="shared" si="7"/>
        <v>80</v>
      </c>
    </row>
    <row r="33" spans="1:15">
      <c r="A33" s="2" t="s">
        <v>115</v>
      </c>
      <c r="B33" s="11" t="s">
        <v>111</v>
      </c>
      <c r="C33" s="42">
        <f>+C31+C30</f>
        <v>80</v>
      </c>
      <c r="D33" s="42">
        <f t="shared" ref="D33:O33" si="8">+D31+D30</f>
        <v>80</v>
      </c>
      <c r="E33" s="42">
        <f t="shared" si="8"/>
        <v>80</v>
      </c>
      <c r="F33" s="42">
        <f t="shared" si="8"/>
        <v>80</v>
      </c>
      <c r="G33" s="42">
        <f t="shared" si="8"/>
        <v>80</v>
      </c>
      <c r="H33" s="42">
        <f t="shared" si="8"/>
        <v>80</v>
      </c>
      <c r="I33" s="42">
        <f t="shared" si="8"/>
        <v>80</v>
      </c>
      <c r="J33" s="42">
        <f t="shared" si="8"/>
        <v>80</v>
      </c>
      <c r="K33" s="42">
        <f t="shared" si="8"/>
        <v>65</v>
      </c>
      <c r="L33" s="42">
        <f t="shared" si="8"/>
        <v>65</v>
      </c>
      <c r="M33" s="42">
        <f t="shared" si="8"/>
        <v>65</v>
      </c>
      <c r="N33" s="42">
        <f t="shared" si="8"/>
        <v>65</v>
      </c>
      <c r="O33" s="42">
        <f t="shared" si="8"/>
        <v>65</v>
      </c>
    </row>
    <row r="34" spans="1:15">
      <c r="A34" s="15" t="s">
        <v>116</v>
      </c>
      <c r="B34" s="16" t="s">
        <v>55</v>
      </c>
      <c r="C34" s="23">
        <f>+'Trens Tipos e Ciclos'!C33</f>
        <v>0.89438172043010755</v>
      </c>
      <c r="D34" s="23">
        <f>+'Trens Tipos e Ciclos'!D33</f>
        <v>0.86752284946236569</v>
      </c>
      <c r="E34" s="23">
        <f>+'Trens Tipos e Ciclos'!E33</f>
        <v>1.0412016129032258</v>
      </c>
      <c r="F34" s="23">
        <f>+'Trens Tipos e Ciclos'!F33</f>
        <v>1.2156922043010754</v>
      </c>
      <c r="G34" s="23">
        <f>+'Trens Tipos e Ciclos'!G33</f>
        <v>1.2916666666666665</v>
      </c>
      <c r="H34" s="23">
        <f>+'Trens Tipos e Ciclos'!H33</f>
        <v>1.05</v>
      </c>
      <c r="I34" s="23">
        <f>+'Trens Tipos e Ciclos'!I33</f>
        <v>1.3232258064516129</v>
      </c>
      <c r="J34" s="23">
        <f>+'Trens Tipos e Ciclos'!J33</f>
        <v>1.3673252688172046</v>
      </c>
      <c r="K34" s="23">
        <f>+'Trens Tipos e Ciclos'!K33</f>
        <v>2.2476337365591395</v>
      </c>
      <c r="L34" s="23">
        <f>+'Trens Tipos e Ciclos'!L33</f>
        <v>0.68404569892473122</v>
      </c>
      <c r="M34" s="23">
        <f>+'Trens Tipos e Ciclos'!M33</f>
        <v>2.28494623655914</v>
      </c>
      <c r="N34" s="23">
        <f>+'Trens Tipos e Ciclos'!N33</f>
        <v>0.66346153846153855</v>
      </c>
      <c r="O34" s="23">
        <f>+'Trens Tipos e Ciclos'!O33</f>
        <v>1.2155448717948718</v>
      </c>
    </row>
    <row r="35" spans="1:15" ht="15.75">
      <c r="A35" s="10" t="s">
        <v>117</v>
      </c>
      <c r="B35" s="11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</row>
    <row r="36" spans="1:15">
      <c r="A36" s="2" t="s">
        <v>118</v>
      </c>
      <c r="B36" s="11" t="s">
        <v>119</v>
      </c>
      <c r="C36" s="45">
        <f>ROUNDUP(C28*C34*C17/(C14/100),0)</f>
        <v>35</v>
      </c>
      <c r="D36" s="45">
        <f t="shared" ref="D36:O36" si="9">ROUNDUP(D28*D34*D17/(D14/100),0)</f>
        <v>31</v>
      </c>
      <c r="E36" s="45">
        <f t="shared" si="9"/>
        <v>9</v>
      </c>
      <c r="F36" s="45">
        <f t="shared" si="9"/>
        <v>25</v>
      </c>
      <c r="G36" s="45">
        <f t="shared" si="9"/>
        <v>12</v>
      </c>
      <c r="H36" s="45">
        <f t="shared" si="9"/>
        <v>0</v>
      </c>
      <c r="I36" s="45">
        <f t="shared" si="9"/>
        <v>0</v>
      </c>
      <c r="J36" s="45">
        <f t="shared" si="9"/>
        <v>0</v>
      </c>
      <c r="K36" s="45">
        <f t="shared" si="9"/>
        <v>8</v>
      </c>
      <c r="L36" s="45">
        <f t="shared" si="9"/>
        <v>2</v>
      </c>
      <c r="M36" s="45">
        <f t="shared" si="9"/>
        <v>0</v>
      </c>
      <c r="N36" s="45">
        <f t="shared" si="9"/>
        <v>10</v>
      </c>
      <c r="O36" s="45">
        <f t="shared" si="9"/>
        <v>29</v>
      </c>
    </row>
    <row r="37" spans="1:15">
      <c r="A37" s="15" t="s">
        <v>120</v>
      </c>
      <c r="B37" s="16" t="s">
        <v>119</v>
      </c>
      <c r="C37" s="15">
        <f>+Premissas!C49</f>
        <v>4</v>
      </c>
      <c r="D37" s="15">
        <f>+Premissas!D49</f>
        <v>2</v>
      </c>
      <c r="E37" s="15">
        <f>+Premissas!E49</f>
        <v>2</v>
      </c>
      <c r="F37" s="15">
        <f>+Premissas!F49</f>
        <v>2</v>
      </c>
      <c r="G37" s="15">
        <f>+Premissas!G49</f>
        <v>1</v>
      </c>
      <c r="H37" s="15">
        <f>+Premissas!H49</f>
        <v>1</v>
      </c>
      <c r="I37" s="15">
        <f>+Premissas!I49</f>
        <v>1</v>
      </c>
      <c r="J37" s="15">
        <f>+Premissas!J49</f>
        <v>1</v>
      </c>
      <c r="K37" s="15">
        <f>+Premissas!K49</f>
        <v>1</v>
      </c>
      <c r="L37" s="15">
        <f>+Premissas!L49</f>
        <v>1</v>
      </c>
      <c r="M37" s="15">
        <f>+Premissas!M49</f>
        <v>0</v>
      </c>
      <c r="N37" s="15">
        <f>+Premissas!N49</f>
        <v>1</v>
      </c>
      <c r="O37" s="15">
        <f>+Premissas!O49</f>
        <v>2</v>
      </c>
    </row>
    <row r="38" spans="1:15" ht="15.75">
      <c r="A38" s="46" t="s">
        <v>121</v>
      </c>
      <c r="B38" s="47" t="s">
        <v>119</v>
      </c>
      <c r="C38" s="46">
        <f>+ROUNDUP((C36+C37),0)</f>
        <v>39</v>
      </c>
      <c r="D38" s="46">
        <f>+ROUNDUP((D36+D37),0)</f>
        <v>33</v>
      </c>
      <c r="E38" s="46">
        <f t="shared" ref="E38:O38" si="10">+ROUNDUP((E36+E37),0)</f>
        <v>11</v>
      </c>
      <c r="F38" s="46">
        <f t="shared" si="10"/>
        <v>27</v>
      </c>
      <c r="G38" s="46">
        <f t="shared" si="10"/>
        <v>13</v>
      </c>
      <c r="H38" s="46">
        <f t="shared" si="10"/>
        <v>1</v>
      </c>
      <c r="I38" s="46">
        <f t="shared" si="10"/>
        <v>1</v>
      </c>
      <c r="J38" s="46">
        <f t="shared" si="10"/>
        <v>1</v>
      </c>
      <c r="K38" s="46">
        <f t="shared" si="10"/>
        <v>9</v>
      </c>
      <c r="L38" s="46">
        <f>+ROUNDUP((L36+L37),0)</f>
        <v>3</v>
      </c>
      <c r="M38" s="46">
        <f t="shared" si="10"/>
        <v>0</v>
      </c>
      <c r="N38" s="46">
        <f t="shared" si="10"/>
        <v>11</v>
      </c>
      <c r="O38" s="46">
        <f t="shared" si="10"/>
        <v>31</v>
      </c>
    </row>
    <row r="39" spans="1:15" ht="15.75">
      <c r="A39" s="48" t="s">
        <v>122</v>
      </c>
      <c r="B39" s="25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</row>
    <row r="40" spans="1:15" ht="16.5" thickBot="1">
      <c r="A40" s="4" t="s">
        <v>123</v>
      </c>
      <c r="B40" s="49" t="s">
        <v>124</v>
      </c>
      <c r="C40" s="4">
        <f>+ROUNDUP((C28*C18*C34/(C15/100)),0)</f>
        <v>683</v>
      </c>
      <c r="D40" s="4">
        <f>+ROUNDUP((D28*D18*D34/(D15/100)),0)</f>
        <v>760</v>
      </c>
      <c r="E40" s="4">
        <f t="shared" ref="E40:O40" si="11">+ROUNDUP((E28*E18*E34/(E15/100)),0)</f>
        <v>99</v>
      </c>
      <c r="F40" s="4">
        <f t="shared" si="11"/>
        <v>205</v>
      </c>
      <c r="G40" s="4">
        <f t="shared" si="11"/>
        <v>114</v>
      </c>
      <c r="H40" s="4">
        <f t="shared" si="11"/>
        <v>0</v>
      </c>
      <c r="I40" s="4">
        <f t="shared" si="11"/>
        <v>0</v>
      </c>
      <c r="J40" s="4">
        <f t="shared" si="11"/>
        <v>0</v>
      </c>
      <c r="K40" s="4">
        <f t="shared" si="11"/>
        <v>97</v>
      </c>
      <c r="L40" s="4">
        <f>+ROUNDUP((L28*L18*L34/(L15/100)),0)</f>
        <v>20</v>
      </c>
      <c r="M40" s="4">
        <f t="shared" si="11"/>
        <v>0</v>
      </c>
      <c r="N40" s="4">
        <f t="shared" si="11"/>
        <v>66</v>
      </c>
      <c r="O40" s="4">
        <f t="shared" si="11"/>
        <v>201</v>
      </c>
    </row>
    <row r="41" spans="1:15">
      <c r="A41" s="21" t="s">
        <v>62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</row>
    <row r="42" spans="1:15">
      <c r="A42" s="21" t="s">
        <v>63</v>
      </c>
      <c r="B42" s="21"/>
      <c r="C42" s="21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</row>
    <row r="43" spans="1:15">
      <c r="A43" s="33" t="s">
        <v>64</v>
      </c>
      <c r="B43" s="50"/>
      <c r="C43" s="51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</row>
    <row r="45" spans="1:15" ht="15.75">
      <c r="A45" s="1" t="s">
        <v>125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</row>
    <row r="46" spans="1:15" ht="16.5" thickBot="1">
      <c r="A46" s="38" t="s">
        <v>126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</row>
    <row r="47" spans="1:15" ht="15.75">
      <c r="A47" s="186" t="s">
        <v>1</v>
      </c>
      <c r="B47" s="186" t="s">
        <v>2</v>
      </c>
      <c r="C47" s="189" t="s">
        <v>3</v>
      </c>
      <c r="D47" s="189"/>
      <c r="E47" s="189"/>
      <c r="F47" s="189"/>
      <c r="G47" s="189"/>
      <c r="H47" s="189"/>
      <c r="I47" s="189"/>
      <c r="J47" s="189"/>
      <c r="K47" s="189"/>
      <c r="L47" s="189"/>
      <c r="M47" s="189"/>
      <c r="N47" s="189"/>
      <c r="O47" s="189"/>
    </row>
    <row r="48" spans="1:15" ht="15.75">
      <c r="A48" s="187"/>
      <c r="B48" s="187"/>
      <c r="C48" s="190" t="s">
        <v>4</v>
      </c>
      <c r="D48" s="190"/>
      <c r="E48" s="190"/>
      <c r="F48" s="190"/>
      <c r="G48" s="190"/>
      <c r="H48" s="35"/>
      <c r="I48" s="190" t="s">
        <v>5</v>
      </c>
      <c r="J48" s="190"/>
      <c r="K48" s="190" t="s">
        <v>6</v>
      </c>
      <c r="L48" s="190"/>
      <c r="M48" s="190"/>
      <c r="N48" s="190" t="s">
        <v>7</v>
      </c>
      <c r="O48" s="190"/>
    </row>
    <row r="49" spans="1:15" ht="15.75">
      <c r="A49" s="187"/>
      <c r="B49" s="187"/>
      <c r="C49" s="191" t="s">
        <v>8</v>
      </c>
      <c r="D49" s="191"/>
      <c r="E49" s="191"/>
      <c r="F49" s="191"/>
      <c r="G49" s="190" t="s">
        <v>9</v>
      </c>
      <c r="H49" s="190"/>
      <c r="I49" s="191" t="s">
        <v>10</v>
      </c>
      <c r="J49" s="191"/>
      <c r="K49" s="191" t="s">
        <v>11</v>
      </c>
      <c r="L49" s="191"/>
      <c r="M49" s="191"/>
      <c r="N49" s="35" t="s">
        <v>12</v>
      </c>
      <c r="O49" s="35" t="s">
        <v>13</v>
      </c>
    </row>
    <row r="50" spans="1:15" ht="15.75">
      <c r="A50" s="187"/>
      <c r="B50" s="187"/>
      <c r="C50" s="7" t="s">
        <v>14</v>
      </c>
      <c r="D50" s="36" t="str">
        <f>+C51</f>
        <v>Iguaçu</v>
      </c>
      <c r="E50" s="7" t="str">
        <f>+D51</f>
        <v>Desvio Ribas</v>
      </c>
      <c r="F50" s="36" t="s">
        <v>78</v>
      </c>
      <c r="G50" s="36" t="str">
        <f>+E51</f>
        <v>Guarapuava</v>
      </c>
      <c r="H50" s="36" t="str">
        <f>+G51</f>
        <v>Cascavel</v>
      </c>
      <c r="I50" s="7" t="s">
        <v>79</v>
      </c>
      <c r="J50" s="36" t="s">
        <v>15</v>
      </c>
      <c r="K50" s="36" t="str">
        <f>+J51</f>
        <v>Front. Argentina</v>
      </c>
      <c r="L50" s="36" t="str">
        <f>+K51</f>
        <v>J.V. Gonzalez</v>
      </c>
      <c r="M50" s="7" t="str">
        <f>+L51</f>
        <v>Salta</v>
      </c>
      <c r="N50" s="36" t="str">
        <f>+M51</f>
        <v>Socompa</v>
      </c>
      <c r="O50" s="7" t="str">
        <f>+N51</f>
        <v>A Victoria</v>
      </c>
    </row>
    <row r="51" spans="1:15" ht="16.5" thickBot="1">
      <c r="A51" s="188"/>
      <c r="B51" s="188"/>
      <c r="C51" s="37" t="s">
        <v>80</v>
      </c>
      <c r="D51" s="37" t="s">
        <v>16</v>
      </c>
      <c r="E51" s="37" t="s">
        <v>17</v>
      </c>
      <c r="F51" s="37" t="s">
        <v>81</v>
      </c>
      <c r="G51" s="37" t="s">
        <v>18</v>
      </c>
      <c r="H51" s="37" t="s">
        <v>82</v>
      </c>
      <c r="I51" s="37" t="s">
        <v>19</v>
      </c>
      <c r="J51" s="37" t="s">
        <v>83</v>
      </c>
      <c r="K51" s="37" t="s">
        <v>84</v>
      </c>
      <c r="L51" s="37" t="s">
        <v>20</v>
      </c>
      <c r="M51" s="37" t="s">
        <v>21</v>
      </c>
      <c r="N51" s="37" t="s">
        <v>22</v>
      </c>
      <c r="O51" s="37" t="s">
        <v>23</v>
      </c>
    </row>
    <row r="52" spans="1:15" ht="15.75">
      <c r="A52" s="10" t="s">
        <v>87</v>
      </c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1:15">
      <c r="A53" s="2" t="s">
        <v>88</v>
      </c>
      <c r="B53" s="11" t="s">
        <v>89</v>
      </c>
      <c r="C53" s="13">
        <f>+Premissas!C12</f>
        <v>12000000</v>
      </c>
      <c r="D53" s="13">
        <f>+Premissas!D12</f>
        <v>17400000</v>
      </c>
      <c r="E53" s="13">
        <f>+Premissas!E12</f>
        <v>6400000</v>
      </c>
      <c r="F53" s="13">
        <f>+Premissas!F12</f>
        <v>3500000</v>
      </c>
      <c r="G53" s="13">
        <f>+Premissas!G12</f>
        <v>5900000</v>
      </c>
      <c r="H53" s="13">
        <f>+Premissas!H12</f>
        <v>1700000</v>
      </c>
      <c r="I53" s="13">
        <f>+Premissas!I12</f>
        <v>1900000</v>
      </c>
      <c r="J53" s="13">
        <f>+Premissas!J12</f>
        <v>1000000</v>
      </c>
      <c r="K53" s="13">
        <f>+Premissas!K12</f>
        <v>3000000</v>
      </c>
      <c r="L53" s="13">
        <f>+Premissas!L12</f>
        <v>1600000</v>
      </c>
      <c r="M53" s="13">
        <f>+Premissas!M12</f>
        <v>600000</v>
      </c>
      <c r="N53" s="13">
        <f>+Premissas!N12</f>
        <v>1800000</v>
      </c>
      <c r="O53" s="13">
        <f>+Premissas!O12</f>
        <v>2600000</v>
      </c>
    </row>
    <row r="54" spans="1:15">
      <c r="A54" s="2" t="s">
        <v>90</v>
      </c>
      <c r="B54" s="11" t="s">
        <v>51</v>
      </c>
      <c r="C54" s="19">
        <f>+Premissas!C33</f>
        <v>108.756</v>
      </c>
      <c r="D54" s="19">
        <f>+Premissas!D33</f>
        <v>117.465</v>
      </c>
      <c r="E54" s="19">
        <f>+Premissas!E33</f>
        <v>211.9</v>
      </c>
      <c r="F54" s="19">
        <f>+Premissas!F33</f>
        <v>274.30700000000002</v>
      </c>
      <c r="G54" s="19">
        <f>+Premissas!G33</f>
        <v>248</v>
      </c>
      <c r="H54" s="19">
        <f>+Premissas!H33</f>
        <v>173.6</v>
      </c>
      <c r="I54" s="19">
        <f>+Premissas!I33</f>
        <v>288.60000000000002</v>
      </c>
      <c r="J54" s="19">
        <f>+Premissas!J33</f>
        <v>324.05</v>
      </c>
      <c r="K54" s="19">
        <f>+Premissas!K33</f>
        <v>655.43499999999995</v>
      </c>
      <c r="L54" s="19">
        <f>+Premissas!L33</f>
        <v>262.89999999999998</v>
      </c>
      <c r="M54" s="19">
        <f>+Premissas!M33</f>
        <v>571</v>
      </c>
      <c r="N54" s="19">
        <f>+Premissas!N33</f>
        <v>181</v>
      </c>
      <c r="O54" s="19">
        <f>+Premissas!O33</f>
        <v>159</v>
      </c>
    </row>
    <row r="55" spans="1:15">
      <c r="A55" s="2" t="s">
        <v>91</v>
      </c>
      <c r="B55" s="11" t="s">
        <v>92</v>
      </c>
      <c r="C55" s="39">
        <f>+Premissas!C38</f>
        <v>1</v>
      </c>
      <c r="D55" s="39">
        <f>+Premissas!D38</f>
        <v>0.9</v>
      </c>
      <c r="E55" s="39">
        <f>+Premissas!E38</f>
        <v>1</v>
      </c>
      <c r="F55" s="39">
        <f>+Premissas!F38</f>
        <v>0.85</v>
      </c>
      <c r="G55" s="39">
        <f>+Premissas!G38</f>
        <v>1</v>
      </c>
      <c r="H55" s="39">
        <f>+Premissas!H38</f>
        <v>1</v>
      </c>
      <c r="I55" s="39">
        <f>+Premissas!I38</f>
        <v>0.9</v>
      </c>
      <c r="J55" s="39">
        <f>+Premissas!J38</f>
        <v>0.9</v>
      </c>
      <c r="K55" s="39">
        <f>+Premissas!K38</f>
        <v>0.85</v>
      </c>
      <c r="L55" s="39">
        <f>+Premissas!L38</f>
        <v>0.85</v>
      </c>
      <c r="M55" s="39">
        <f>+Premissas!M38</f>
        <v>1</v>
      </c>
      <c r="N55" s="39">
        <f>+Premissas!N38</f>
        <v>1</v>
      </c>
      <c r="O55" s="39">
        <f>+Premissas!O38</f>
        <v>0.75</v>
      </c>
    </row>
    <row r="56" spans="1:15">
      <c r="A56" s="2" t="s">
        <v>93</v>
      </c>
      <c r="B56" s="11" t="s">
        <v>51</v>
      </c>
      <c r="C56" s="19">
        <f>+C54*C55</f>
        <v>108.756</v>
      </c>
      <c r="D56" s="19">
        <f t="shared" ref="D56:O56" si="12">+D54*D55</f>
        <v>105.71850000000001</v>
      </c>
      <c r="E56" s="19">
        <f t="shared" si="12"/>
        <v>211.9</v>
      </c>
      <c r="F56" s="19">
        <f t="shared" si="12"/>
        <v>233.16095000000001</v>
      </c>
      <c r="G56" s="19">
        <f t="shared" si="12"/>
        <v>248</v>
      </c>
      <c r="H56" s="19">
        <f t="shared" si="12"/>
        <v>173.6</v>
      </c>
      <c r="I56" s="19">
        <f t="shared" si="12"/>
        <v>259.74</v>
      </c>
      <c r="J56" s="19">
        <f t="shared" si="12"/>
        <v>291.64500000000004</v>
      </c>
      <c r="K56" s="19">
        <f t="shared" si="12"/>
        <v>557.11974999999995</v>
      </c>
      <c r="L56" s="19">
        <f t="shared" si="12"/>
        <v>223.46499999999997</v>
      </c>
      <c r="M56" s="19">
        <f t="shared" si="12"/>
        <v>571</v>
      </c>
      <c r="N56" s="19">
        <f t="shared" si="12"/>
        <v>181</v>
      </c>
      <c r="O56" s="19">
        <f t="shared" si="12"/>
        <v>119.25</v>
      </c>
    </row>
    <row r="57" spans="1:15">
      <c r="A57" s="2" t="s">
        <v>94</v>
      </c>
      <c r="B57" s="18" t="s">
        <v>95</v>
      </c>
      <c r="C57" s="13">
        <f>+C53*C56/1000</f>
        <v>1305072</v>
      </c>
      <c r="D57" s="13">
        <f t="shared" ref="D57:O57" si="13">+D53*D56/1000</f>
        <v>1839501.9</v>
      </c>
      <c r="E57" s="13">
        <f t="shared" si="13"/>
        <v>1356160</v>
      </c>
      <c r="F57" s="13">
        <f t="shared" si="13"/>
        <v>816063.32499999995</v>
      </c>
      <c r="G57" s="13">
        <f t="shared" si="13"/>
        <v>1463200</v>
      </c>
      <c r="H57" s="13">
        <f t="shared" si="13"/>
        <v>295120</v>
      </c>
      <c r="I57" s="13">
        <f t="shared" si="13"/>
        <v>493506</v>
      </c>
      <c r="J57" s="13">
        <f t="shared" si="13"/>
        <v>291645.00000000006</v>
      </c>
      <c r="K57" s="13">
        <f t="shared" si="13"/>
        <v>1671359.2499999998</v>
      </c>
      <c r="L57" s="13">
        <f t="shared" si="13"/>
        <v>357543.99999999994</v>
      </c>
      <c r="M57" s="13">
        <f t="shared" si="13"/>
        <v>342600</v>
      </c>
      <c r="N57" s="13">
        <f t="shared" si="13"/>
        <v>325800</v>
      </c>
      <c r="O57" s="13">
        <f t="shared" si="13"/>
        <v>310050</v>
      </c>
    </row>
    <row r="58" spans="1:15">
      <c r="A58" s="21" t="s">
        <v>96</v>
      </c>
      <c r="B58" s="18" t="s">
        <v>92</v>
      </c>
      <c r="C58" s="53">
        <f>+Premissas!C46</f>
        <v>80</v>
      </c>
      <c r="D58" s="53">
        <f>+Premissas!D46</f>
        <v>80</v>
      </c>
      <c r="E58" s="53">
        <f>+Premissas!E46</f>
        <v>80</v>
      </c>
      <c r="F58" s="53">
        <f>+Premissas!F46</f>
        <v>80</v>
      </c>
      <c r="G58" s="53">
        <f>+Premissas!G46</f>
        <v>80</v>
      </c>
      <c r="H58" s="53">
        <f>+Premissas!H46</f>
        <v>80</v>
      </c>
      <c r="I58" s="53">
        <f>+Premissas!I46</f>
        <v>80</v>
      </c>
      <c r="J58" s="53">
        <f>+Premissas!J46</f>
        <v>80</v>
      </c>
      <c r="K58" s="53">
        <f>+Premissas!K46</f>
        <v>80</v>
      </c>
      <c r="L58" s="53">
        <f>+Premissas!L46</f>
        <v>80</v>
      </c>
      <c r="M58" s="53">
        <f>+Premissas!M46</f>
        <v>80</v>
      </c>
      <c r="N58" s="53">
        <f>+Premissas!N46</f>
        <v>80</v>
      </c>
      <c r="O58" s="53">
        <f>+Premissas!O46</f>
        <v>80</v>
      </c>
    </row>
    <row r="59" spans="1:15">
      <c r="A59" s="15" t="s">
        <v>97</v>
      </c>
      <c r="B59" s="16" t="s">
        <v>92</v>
      </c>
      <c r="C59" s="41">
        <f>+Premissas!C61</f>
        <v>90</v>
      </c>
      <c r="D59" s="41">
        <f>+Premissas!D61</f>
        <v>90</v>
      </c>
      <c r="E59" s="41">
        <f>+Premissas!E61</f>
        <v>90</v>
      </c>
      <c r="F59" s="41">
        <f>+Premissas!F61</f>
        <v>90</v>
      </c>
      <c r="G59" s="41">
        <f>+Premissas!G61</f>
        <v>90</v>
      </c>
      <c r="H59" s="41">
        <f>+Premissas!H61</f>
        <v>90</v>
      </c>
      <c r="I59" s="41">
        <f>+Premissas!I61</f>
        <v>90</v>
      </c>
      <c r="J59" s="41">
        <f>+Premissas!J61</f>
        <v>90</v>
      </c>
      <c r="K59" s="41">
        <f>+Premissas!K61</f>
        <v>90</v>
      </c>
      <c r="L59" s="41">
        <f>+Premissas!L61</f>
        <v>90</v>
      </c>
      <c r="M59" s="41">
        <f>+Premissas!M61</f>
        <v>90</v>
      </c>
      <c r="N59" s="41">
        <f>+Premissas!N61</f>
        <v>90</v>
      </c>
      <c r="O59" s="41">
        <f>+Premissas!O61</f>
        <v>90</v>
      </c>
    </row>
    <row r="60" spans="1:15" ht="15.75">
      <c r="A60" s="10" t="s">
        <v>98</v>
      </c>
      <c r="B60" s="11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</row>
    <row r="61" spans="1:15">
      <c r="A61" s="2" t="s">
        <v>29</v>
      </c>
      <c r="B61" s="11" t="s">
        <v>30</v>
      </c>
      <c r="C61" s="2">
        <f>+'Trens Tipos e Ciclos'!C49</f>
        <v>3</v>
      </c>
      <c r="D61" s="2">
        <f>+'Trens Tipos e Ciclos'!D49</f>
        <v>3</v>
      </c>
      <c r="E61" s="2">
        <f>+'Trens Tipos e Ciclos'!E49</f>
        <v>4</v>
      </c>
      <c r="F61" s="2">
        <f>+'Trens Tipos e Ciclos'!F49</f>
        <v>2</v>
      </c>
      <c r="G61" s="2">
        <f>+'Trens Tipos e Ciclos'!G49</f>
        <v>4</v>
      </c>
      <c r="H61" s="2">
        <f>+'Trens Tipos e Ciclos'!H49</f>
        <v>4</v>
      </c>
      <c r="I61" s="2">
        <f>+'Trens Tipos e Ciclos'!I49</f>
        <v>3</v>
      </c>
      <c r="J61" s="2">
        <f>+'Trens Tipos e Ciclos'!J49</f>
        <v>3</v>
      </c>
      <c r="K61" s="2">
        <f>+'Trens Tipos e Ciclos'!K49</f>
        <v>3</v>
      </c>
      <c r="L61" s="2">
        <f>+'Trens Tipos e Ciclos'!L49</f>
        <v>3</v>
      </c>
      <c r="M61" s="2">
        <f>+'Trens Tipos e Ciclos'!M49</f>
        <v>2</v>
      </c>
      <c r="N61" s="2">
        <f>+'Trens Tipos e Ciclos'!N49</f>
        <v>3</v>
      </c>
      <c r="O61" s="2">
        <f>+'Trens Tipos e Ciclos'!O49</f>
        <v>4</v>
      </c>
    </row>
    <row r="62" spans="1:15">
      <c r="A62" s="2" t="s">
        <v>31</v>
      </c>
      <c r="B62" s="11" t="s">
        <v>32</v>
      </c>
      <c r="C62" s="2">
        <f>+'Trens Tipos e Ciclos'!C50</f>
        <v>90</v>
      </c>
      <c r="D62" s="2">
        <f>+'Trens Tipos e Ciclos'!D50</f>
        <v>90</v>
      </c>
      <c r="E62" s="2">
        <f>+'Trens Tipos e Ciclos'!E50</f>
        <v>90</v>
      </c>
      <c r="F62" s="2">
        <f>+'Trens Tipos e Ciclos'!F50</f>
        <v>42</v>
      </c>
      <c r="G62" s="2">
        <f>+'Trens Tipos e Ciclos'!G50</f>
        <v>90</v>
      </c>
      <c r="H62" s="2">
        <f>+'Trens Tipos e Ciclos'!H50</f>
        <v>90</v>
      </c>
      <c r="I62" s="2">
        <f>+'Trens Tipos e Ciclos'!I50</f>
        <v>90</v>
      </c>
      <c r="J62" s="2">
        <f>+'Trens Tipos e Ciclos'!J50</f>
        <v>90</v>
      </c>
      <c r="K62" s="2">
        <f>+'Trens Tipos e Ciclos'!K50</f>
        <v>55</v>
      </c>
      <c r="L62" s="2">
        <f>+'Trens Tipos e Ciclos'!L50</f>
        <v>55</v>
      </c>
      <c r="M62" s="2">
        <f>+'Trens Tipos e Ciclos'!M50</f>
        <v>12</v>
      </c>
      <c r="N62" s="2">
        <f>+'Trens Tipos e Ciclos'!N50</f>
        <v>24</v>
      </c>
      <c r="O62" s="2">
        <f>+'Trens Tipos e Ciclos'!O50</f>
        <v>36</v>
      </c>
    </row>
    <row r="63" spans="1:15">
      <c r="A63" s="2" t="s">
        <v>99</v>
      </c>
      <c r="B63" s="11" t="s">
        <v>34</v>
      </c>
      <c r="C63" s="13">
        <f>+'Trens Tipos e Ciclos'!C52</f>
        <v>5265</v>
      </c>
      <c r="D63" s="13">
        <f>+'Trens Tipos e Ciclos'!D52</f>
        <v>5265</v>
      </c>
      <c r="E63" s="13">
        <f>+'Trens Tipos e Ciclos'!E52</f>
        <v>5265</v>
      </c>
      <c r="F63" s="13">
        <f>+'Trens Tipos e Ciclos'!F52</f>
        <v>2457</v>
      </c>
      <c r="G63" s="13">
        <f>+'Trens Tipos e Ciclos'!G52</f>
        <v>5265</v>
      </c>
      <c r="H63" s="13">
        <f>+'Trens Tipos e Ciclos'!H52</f>
        <v>5265</v>
      </c>
      <c r="I63" s="13">
        <f>+'Trens Tipos e Ciclos'!I52</f>
        <v>5265</v>
      </c>
      <c r="J63" s="13">
        <f>+'Trens Tipos e Ciclos'!J52</f>
        <v>5265</v>
      </c>
      <c r="K63" s="13">
        <f>+'Trens Tipos e Ciclos'!K52</f>
        <v>3217.5</v>
      </c>
      <c r="L63" s="13">
        <f>+'Trens Tipos e Ciclos'!L52</f>
        <v>3217.5</v>
      </c>
      <c r="M63" s="13">
        <f>+'Trens Tipos e Ciclos'!M52</f>
        <v>702</v>
      </c>
      <c r="N63" s="13">
        <f>+'Trens Tipos e Ciclos'!N52</f>
        <v>1404</v>
      </c>
      <c r="O63" s="13">
        <f>+'Trens Tipos e Ciclos'!O52</f>
        <v>2106</v>
      </c>
    </row>
    <row r="64" spans="1:15">
      <c r="A64" s="2" t="s">
        <v>37</v>
      </c>
      <c r="B64" s="11" t="s">
        <v>38</v>
      </c>
      <c r="C64" s="19">
        <f>+C53/C68*C56</f>
        <v>572600.34000000008</v>
      </c>
      <c r="D64" s="19">
        <f t="shared" ref="D64:F64" si="14">+D53/D68*D56</f>
        <v>556607.90250000008</v>
      </c>
      <c r="E64" s="19">
        <f t="shared" si="14"/>
        <v>1115653.5</v>
      </c>
      <c r="F64" s="19">
        <f t="shared" si="14"/>
        <v>572876.45415000001</v>
      </c>
      <c r="G64" s="19">
        <f t="shared" ref="G64:J64" si="15">+G53/G68*G56</f>
        <v>1305719.9999999998</v>
      </c>
      <c r="H64" s="19">
        <f t="shared" si="15"/>
        <v>914004</v>
      </c>
      <c r="I64" s="19">
        <f t="shared" si="15"/>
        <v>1367531.1</v>
      </c>
      <c r="J64" s="19">
        <f t="shared" si="15"/>
        <v>1535510.9250000003</v>
      </c>
      <c r="K64" s="19">
        <f>+K53/K68*K56</f>
        <v>1792532.7956249998</v>
      </c>
      <c r="L64" s="19">
        <f t="shared" ref="L64:O64" si="16">+L53/L68*L56</f>
        <v>718998.63749999995</v>
      </c>
      <c r="M64" s="19">
        <f t="shared" si="16"/>
        <v>400842</v>
      </c>
      <c r="N64" s="19">
        <f t="shared" si="16"/>
        <v>254124</v>
      </c>
      <c r="O64" s="19">
        <f t="shared" si="16"/>
        <v>251140.5</v>
      </c>
    </row>
    <row r="65" spans="1:15">
      <c r="A65" s="2" t="s">
        <v>70</v>
      </c>
      <c r="B65" s="11" t="s">
        <v>36</v>
      </c>
      <c r="C65" s="19">
        <f>+'Trens Tipos e Ciclos'!C54</f>
        <v>7065</v>
      </c>
      <c r="D65" s="19">
        <f>+'Trens Tipos e Ciclos'!D54</f>
        <v>7065</v>
      </c>
      <c r="E65" s="19">
        <f>+'Trens Tipos e Ciclos'!E54</f>
        <v>7065</v>
      </c>
      <c r="F65" s="19">
        <f>+'Trens Tipos e Ciclos'!F54</f>
        <v>3297</v>
      </c>
      <c r="G65" s="19">
        <f>+'Trens Tipos e Ciclos'!G54</f>
        <v>7065</v>
      </c>
      <c r="H65" s="19">
        <f>+'Trens Tipos e Ciclos'!H54</f>
        <v>7065</v>
      </c>
      <c r="I65" s="19">
        <f>+'Trens Tipos e Ciclos'!I54</f>
        <v>7065</v>
      </c>
      <c r="J65" s="19">
        <f>+'Trens Tipos e Ciclos'!J54</f>
        <v>7065</v>
      </c>
      <c r="K65" s="19">
        <f>+'Trens Tipos e Ciclos'!K54</f>
        <v>4317.5</v>
      </c>
      <c r="L65" s="19">
        <f>+'Trens Tipos e Ciclos'!L54</f>
        <v>4317.5</v>
      </c>
      <c r="M65" s="19">
        <f>+'Trens Tipos e Ciclos'!M54</f>
        <v>942</v>
      </c>
      <c r="N65" s="19">
        <f>+'Trens Tipos e Ciclos'!N54</f>
        <v>1884</v>
      </c>
      <c r="O65" s="19">
        <f>+'Trens Tipos e Ciclos'!O54</f>
        <v>2826</v>
      </c>
    </row>
    <row r="66" spans="1:15">
      <c r="A66" s="2" t="s">
        <v>100</v>
      </c>
      <c r="B66" s="11" t="s">
        <v>40</v>
      </c>
      <c r="C66" s="19">
        <f>+'Trens Tipos e Ciclos'!C56</f>
        <v>1515</v>
      </c>
      <c r="D66" s="19">
        <f>+'Trens Tipos e Ciclos'!D56</f>
        <v>1515</v>
      </c>
      <c r="E66" s="19">
        <f>+'Trens Tipos e Ciclos'!E56</f>
        <v>1540</v>
      </c>
      <c r="F66" s="19">
        <f>+'Trens Tipos e Ciclos'!F56</f>
        <v>722</v>
      </c>
      <c r="G66" s="19">
        <f>+'Trens Tipos e Ciclos'!G56</f>
        <v>1540</v>
      </c>
      <c r="H66" s="19">
        <f>+'Trens Tipos e Ciclos'!H56</f>
        <v>1540</v>
      </c>
      <c r="I66" s="19">
        <f>+'Trens Tipos e Ciclos'!I56</f>
        <v>1515</v>
      </c>
      <c r="J66" s="19">
        <f>+'Trens Tipos e Ciclos'!J56</f>
        <v>1515</v>
      </c>
      <c r="K66" s="19">
        <f>+'Trens Tipos e Ciclos'!K56</f>
        <v>955</v>
      </c>
      <c r="L66" s="19">
        <f>+'Trens Tipos e Ciclos'!L56</f>
        <v>955</v>
      </c>
      <c r="M66" s="19">
        <f>+'Trens Tipos e Ciclos'!M56</f>
        <v>232</v>
      </c>
      <c r="N66" s="19">
        <f>+'Trens Tipos e Ciclos'!N56</f>
        <v>444</v>
      </c>
      <c r="O66" s="19">
        <f>+'Trens Tipos e Ciclos'!O56</f>
        <v>656</v>
      </c>
    </row>
    <row r="67" spans="1:15">
      <c r="A67" s="2" t="s">
        <v>101</v>
      </c>
      <c r="B67" s="11" t="s">
        <v>40</v>
      </c>
      <c r="C67" s="19">
        <f>+C66+Premissas!C97*2+Premissas!C98</f>
        <v>1726.34</v>
      </c>
      <c r="D67" s="19">
        <f>+D66+Premissas!D97*2+Premissas!D98</f>
        <v>1726.34</v>
      </c>
      <c r="E67" s="19">
        <f>+E66+Premissas!E97*2+Premissas!E98</f>
        <v>1751.34</v>
      </c>
      <c r="F67" s="19">
        <f>+F66+Premissas!F97*2+Premissas!F98</f>
        <v>933.34</v>
      </c>
      <c r="G67" s="19">
        <f>+G66+Premissas!G97*2+Premissas!G98</f>
        <v>1751.34</v>
      </c>
      <c r="H67" s="19">
        <f>+H66+Premissas!H97*2+Premissas!H98</f>
        <v>1751.34</v>
      </c>
      <c r="I67" s="19">
        <f>+I66+Premissas!I97*2+Premissas!I98</f>
        <v>1726.34</v>
      </c>
      <c r="J67" s="19">
        <f>+J66+Premissas!J97*2+Premissas!J98</f>
        <v>1726.34</v>
      </c>
      <c r="K67" s="19">
        <f>+K66+Premissas!K97*2+Premissas!K98</f>
        <v>1166.3399999999999</v>
      </c>
      <c r="L67" s="19">
        <f>+L66+Premissas!L97*2+Premissas!L98</f>
        <v>1166.3399999999999</v>
      </c>
      <c r="M67" s="19">
        <f>+M66+Premissas!M97*2+Premissas!M98</f>
        <v>443.34000000000003</v>
      </c>
      <c r="N67" s="19">
        <f>+N66+Premissas!N97*2+Premissas!N98</f>
        <v>655.34</v>
      </c>
      <c r="O67" s="19">
        <f>+O66+Premissas!O97*2+Premissas!O98</f>
        <v>867.34</v>
      </c>
    </row>
    <row r="68" spans="1:15">
      <c r="A68" s="2" t="s">
        <v>102</v>
      </c>
      <c r="B68" s="11" t="s">
        <v>103</v>
      </c>
      <c r="C68" s="19">
        <f>+C53/C63</f>
        <v>2279.202279202279</v>
      </c>
      <c r="D68" s="19">
        <f t="shared" ref="D68:F68" si="17">+D53/D63</f>
        <v>3304.8433048433048</v>
      </c>
      <c r="E68" s="19">
        <f t="shared" si="17"/>
        <v>1215.5745489078822</v>
      </c>
      <c r="F68" s="19">
        <f t="shared" si="17"/>
        <v>1424.5014245014245</v>
      </c>
      <c r="G68" s="19">
        <f t="shared" ref="G68:J68" si="18">+G53/G63</f>
        <v>1120.607787274454</v>
      </c>
      <c r="H68" s="19">
        <f t="shared" si="18"/>
        <v>322.88698955365624</v>
      </c>
      <c r="I68" s="19">
        <f t="shared" si="18"/>
        <v>360.87369420702754</v>
      </c>
      <c r="J68" s="19">
        <f t="shared" si="18"/>
        <v>189.93352326685661</v>
      </c>
      <c r="K68" s="19">
        <f>+K53/K63</f>
        <v>932.40093240093245</v>
      </c>
      <c r="L68" s="19">
        <f t="shared" ref="L68:O68" si="19">+L53/L63</f>
        <v>497.28049728049729</v>
      </c>
      <c r="M68" s="19">
        <f t="shared" si="19"/>
        <v>854.70085470085473</v>
      </c>
      <c r="N68" s="19">
        <f t="shared" si="19"/>
        <v>1282.051282051282</v>
      </c>
      <c r="O68" s="19">
        <f t="shared" si="19"/>
        <v>1234.5679012345679</v>
      </c>
    </row>
    <row r="69" spans="1:15">
      <c r="A69" s="2" t="s">
        <v>104</v>
      </c>
      <c r="B69" s="11" t="s">
        <v>105</v>
      </c>
      <c r="C69" s="13">
        <f>+Premissas!C107</f>
        <v>330</v>
      </c>
      <c r="D69" s="13">
        <f>+Premissas!D107</f>
        <v>330</v>
      </c>
      <c r="E69" s="13">
        <f>+Premissas!E107</f>
        <v>330</v>
      </c>
      <c r="F69" s="13">
        <f>+Premissas!F107</f>
        <v>330</v>
      </c>
      <c r="G69" s="13">
        <f>+Premissas!G107</f>
        <v>330</v>
      </c>
      <c r="H69" s="13">
        <f>+Premissas!H107</f>
        <v>330</v>
      </c>
      <c r="I69" s="13">
        <f>+Premissas!I107</f>
        <v>330</v>
      </c>
      <c r="J69" s="13">
        <f>+Premissas!J107</f>
        <v>330</v>
      </c>
      <c r="K69" s="13">
        <f>+Premissas!K107</f>
        <v>330</v>
      </c>
      <c r="L69" s="13">
        <f>+Premissas!L107</f>
        <v>330</v>
      </c>
      <c r="M69" s="13">
        <f>+Premissas!M107</f>
        <v>300</v>
      </c>
      <c r="N69" s="13">
        <f>+Premissas!N107</f>
        <v>330</v>
      </c>
      <c r="O69" s="13">
        <f>+Premissas!O107</f>
        <v>330</v>
      </c>
    </row>
    <row r="70" spans="1:15">
      <c r="A70" s="2" t="s">
        <v>106</v>
      </c>
      <c r="B70" s="11" t="s">
        <v>107</v>
      </c>
      <c r="C70" s="42">
        <f>+C68/C69</f>
        <v>6.9066735733402398</v>
      </c>
      <c r="D70" s="42">
        <f t="shared" ref="D70:F70" si="20">+D68/D69</f>
        <v>10.014676681343348</v>
      </c>
      <c r="E70" s="42">
        <f t="shared" si="20"/>
        <v>3.6835592391147944</v>
      </c>
      <c r="F70" s="42">
        <f t="shared" si="20"/>
        <v>4.3166709833376498</v>
      </c>
      <c r="G70" s="42">
        <f t="shared" ref="G70" si="21">+G68/G69</f>
        <v>3.3957811735589516</v>
      </c>
      <c r="H70" s="42">
        <f t="shared" ref="H70:I70" si="22">+H68/H69</f>
        <v>0.97844542288986736</v>
      </c>
      <c r="I70" s="42">
        <f t="shared" si="22"/>
        <v>1.0935566491122046</v>
      </c>
      <c r="J70" s="42">
        <f t="shared" ref="J70" si="23">+J68/J69</f>
        <v>0.57555613111168669</v>
      </c>
      <c r="K70" s="42">
        <f>+K68/K69</f>
        <v>2.8254573709119164</v>
      </c>
      <c r="L70" s="42">
        <f t="shared" ref="L70" si="24">+L68/L69</f>
        <v>1.5069105978196888</v>
      </c>
      <c r="M70" s="42">
        <f t="shared" ref="M70" si="25">+M68/M69</f>
        <v>2.8490028490028489</v>
      </c>
      <c r="N70" s="42">
        <f t="shared" ref="N70" si="26">+N68/N69</f>
        <v>3.8850038850038846</v>
      </c>
      <c r="O70" s="42">
        <f t="shared" ref="O70" si="27">+O68/O69</f>
        <v>3.7411148522259632</v>
      </c>
    </row>
    <row r="71" spans="1:15">
      <c r="A71" s="2" t="s">
        <v>108</v>
      </c>
      <c r="B71" s="11" t="s">
        <v>92</v>
      </c>
      <c r="C71" s="43">
        <f>Premissas!C105/100</f>
        <v>0.2</v>
      </c>
      <c r="D71" s="43">
        <f>Premissas!D105/100</f>
        <v>0.2</v>
      </c>
      <c r="E71" s="43">
        <f>Premissas!E105/100</f>
        <v>0.2</v>
      </c>
      <c r="F71" s="43">
        <f>Premissas!F105/100</f>
        <v>0.2</v>
      </c>
      <c r="G71" s="43">
        <f>Premissas!G105/100</f>
        <v>0.2</v>
      </c>
      <c r="H71" s="43">
        <f>Premissas!H105/100</f>
        <v>0.2</v>
      </c>
      <c r="I71" s="43">
        <f>Premissas!I105/100</f>
        <v>0.2</v>
      </c>
      <c r="J71" s="43">
        <f>Premissas!J105/100</f>
        <v>0.2</v>
      </c>
      <c r="K71" s="43">
        <f>Premissas!K105/100</f>
        <v>0.2</v>
      </c>
      <c r="L71" s="43">
        <f>Premissas!L105/100</f>
        <v>0.2</v>
      </c>
      <c r="M71" s="43">
        <f>Premissas!M105/100</f>
        <v>0.1</v>
      </c>
      <c r="N71" s="43">
        <f>Premissas!N105/100</f>
        <v>0.1</v>
      </c>
      <c r="O71" s="43">
        <f>Premissas!O105/100</f>
        <v>0.1</v>
      </c>
    </row>
    <row r="72" spans="1:15">
      <c r="A72" s="2" t="s">
        <v>109</v>
      </c>
      <c r="B72" s="11" t="s">
        <v>107</v>
      </c>
      <c r="C72" s="42">
        <f>+C70+C70*C71</f>
        <v>8.2880082880082888</v>
      </c>
      <c r="D72" s="42">
        <f t="shared" ref="D72:F72" si="28">+D70+D70*D71</f>
        <v>12.017612017612016</v>
      </c>
      <c r="E72" s="42">
        <f t="shared" si="28"/>
        <v>4.4202710869377535</v>
      </c>
      <c r="F72" s="42">
        <f t="shared" si="28"/>
        <v>5.1800051800051801</v>
      </c>
      <c r="G72" s="42">
        <f t="shared" ref="G72" si="29">+G70+G70*G71</f>
        <v>4.0749374082707419</v>
      </c>
      <c r="H72" s="42">
        <f t="shared" ref="H72:I72" si="30">+H70+H70*H71</f>
        <v>1.1741345074678409</v>
      </c>
      <c r="I72" s="42">
        <f t="shared" si="30"/>
        <v>1.3122679789346456</v>
      </c>
      <c r="J72" s="42">
        <f t="shared" ref="J72" si="31">+J70+J70*J71</f>
        <v>0.69066735733402407</v>
      </c>
      <c r="K72" s="42">
        <f>+K70+K70*K71</f>
        <v>3.3905488450942998</v>
      </c>
      <c r="L72" s="42">
        <f t="shared" ref="L72" si="32">+L70+L70*L71</f>
        <v>1.8082927173836265</v>
      </c>
      <c r="M72" s="42">
        <f t="shared" ref="M72" si="33">+M70+M70*M71</f>
        <v>3.133903133903134</v>
      </c>
      <c r="N72" s="42">
        <f t="shared" ref="N72" si="34">+N70+N70*N71</f>
        <v>4.2735042735042734</v>
      </c>
      <c r="O72" s="42">
        <f t="shared" ref="O72" si="35">+O70+O70*O71</f>
        <v>4.1152263374485596</v>
      </c>
    </row>
    <row r="73" spans="1:15">
      <c r="A73" s="2" t="s">
        <v>110</v>
      </c>
      <c r="B73" s="11" t="s">
        <v>111</v>
      </c>
      <c r="C73" s="42">
        <f>'Trens Futuros'!C23</f>
        <v>60</v>
      </c>
      <c r="D73" s="42">
        <f>'Trens Futuros'!D23</f>
        <v>60</v>
      </c>
      <c r="E73" s="42">
        <f>'Trens Futuros'!E23</f>
        <v>60</v>
      </c>
      <c r="F73" s="42">
        <f>'Trens Futuros'!F23</f>
        <v>60</v>
      </c>
      <c r="G73" s="42">
        <f>'Trens Futuros'!G23</f>
        <v>60</v>
      </c>
      <c r="H73" s="42">
        <f>'Trens Futuros'!H23</f>
        <v>60</v>
      </c>
      <c r="I73" s="42">
        <f>'Trens Futuros'!I23</f>
        <v>60</v>
      </c>
      <c r="J73" s="42">
        <f>'Trens Futuros'!J23</f>
        <v>60</v>
      </c>
      <c r="K73" s="42">
        <f>'Trens Futuros'!K23</f>
        <v>60</v>
      </c>
      <c r="L73" s="42">
        <f>'Trens Futuros'!L23</f>
        <v>60</v>
      </c>
      <c r="M73" s="42">
        <f>'Trens Futuros'!M23</f>
        <v>60</v>
      </c>
      <c r="N73" s="42">
        <f>'Trens Futuros'!N23</f>
        <v>60</v>
      </c>
      <c r="O73" s="42">
        <f>'Trens Futuros'!O23</f>
        <v>60</v>
      </c>
    </row>
    <row r="74" spans="1:15">
      <c r="A74" s="2" t="s">
        <v>112</v>
      </c>
      <c r="B74" s="11" t="s">
        <v>111</v>
      </c>
      <c r="C74" s="42">
        <f>+C63/C62</f>
        <v>58.5</v>
      </c>
      <c r="D74" s="42">
        <f t="shared" ref="D74:F74" si="36">+D63/D62</f>
        <v>58.5</v>
      </c>
      <c r="E74" s="42">
        <f t="shared" si="36"/>
        <v>58.5</v>
      </c>
      <c r="F74" s="42">
        <f t="shared" si="36"/>
        <v>58.5</v>
      </c>
      <c r="G74" s="42">
        <f t="shared" ref="G74:J74" si="37">+G63/G62</f>
        <v>58.5</v>
      </c>
      <c r="H74" s="42">
        <f t="shared" si="37"/>
        <v>58.5</v>
      </c>
      <c r="I74" s="42">
        <f t="shared" si="37"/>
        <v>58.5</v>
      </c>
      <c r="J74" s="42">
        <f t="shared" si="37"/>
        <v>58.5</v>
      </c>
      <c r="K74" s="42">
        <f>+K63/K62</f>
        <v>58.5</v>
      </c>
      <c r="L74" s="42">
        <f t="shared" ref="L74:O74" si="38">+L63/L62</f>
        <v>58.5</v>
      </c>
      <c r="M74" s="42">
        <f t="shared" si="38"/>
        <v>58.5</v>
      </c>
      <c r="N74" s="42">
        <f t="shared" si="38"/>
        <v>58.5</v>
      </c>
      <c r="O74" s="42">
        <f t="shared" si="38"/>
        <v>58.5</v>
      </c>
    </row>
    <row r="75" spans="1:15">
      <c r="A75" s="2" t="s">
        <v>113</v>
      </c>
      <c r="B75" s="11" t="s">
        <v>111</v>
      </c>
      <c r="C75" s="42">
        <f>'Trens Futuros'!C25</f>
        <v>20</v>
      </c>
      <c r="D75" s="42">
        <f>'Trens Futuros'!D25</f>
        <v>20</v>
      </c>
      <c r="E75" s="42">
        <f>'Trens Futuros'!E25</f>
        <v>20</v>
      </c>
      <c r="F75" s="42">
        <f>'Trens Futuros'!F25</f>
        <v>20</v>
      </c>
      <c r="G75" s="42">
        <f>'Trens Futuros'!G25</f>
        <v>20</v>
      </c>
      <c r="H75" s="42">
        <f>'Trens Futuros'!H25</f>
        <v>20</v>
      </c>
      <c r="I75" s="42">
        <f>'Trens Futuros'!I25</f>
        <v>20</v>
      </c>
      <c r="J75" s="42">
        <f>'Trens Futuros'!J25</f>
        <v>20</v>
      </c>
      <c r="K75" s="42">
        <f>'Trens Futuros'!K25</f>
        <v>20</v>
      </c>
      <c r="L75" s="42">
        <f>'Trens Futuros'!L25</f>
        <v>20</v>
      </c>
      <c r="M75" s="42">
        <f>'Trens Futuros'!M25</f>
        <v>20</v>
      </c>
      <c r="N75" s="42">
        <f>'Trens Futuros'!N25</f>
        <v>20</v>
      </c>
      <c r="O75" s="42">
        <f>'Trens Futuros'!O25</f>
        <v>20</v>
      </c>
    </row>
    <row r="76" spans="1:15">
      <c r="A76" s="2" t="s">
        <v>114</v>
      </c>
      <c r="B76" s="11" t="s">
        <v>111</v>
      </c>
      <c r="C76" s="42">
        <f>+C75+C73</f>
        <v>80</v>
      </c>
      <c r="D76" s="42">
        <f t="shared" ref="D76:F76" si="39">+D75+D73</f>
        <v>80</v>
      </c>
      <c r="E76" s="42">
        <f t="shared" si="39"/>
        <v>80</v>
      </c>
      <c r="F76" s="42">
        <f t="shared" si="39"/>
        <v>80</v>
      </c>
      <c r="G76" s="42">
        <f t="shared" ref="G76" si="40">+G75+G73</f>
        <v>80</v>
      </c>
      <c r="H76" s="42">
        <f t="shared" ref="H76:I76" si="41">+H75+H73</f>
        <v>80</v>
      </c>
      <c r="I76" s="42">
        <f t="shared" si="41"/>
        <v>80</v>
      </c>
      <c r="J76" s="42">
        <f t="shared" ref="J76" si="42">+J75+J73</f>
        <v>80</v>
      </c>
      <c r="K76" s="42">
        <f>+K75+K73</f>
        <v>80</v>
      </c>
      <c r="L76" s="42">
        <f t="shared" ref="L76" si="43">+L75+L73</f>
        <v>80</v>
      </c>
      <c r="M76" s="42">
        <f t="shared" ref="M76" si="44">+M75+M73</f>
        <v>80</v>
      </c>
      <c r="N76" s="42">
        <f t="shared" ref="N76" si="45">+N75+N73</f>
        <v>80</v>
      </c>
      <c r="O76" s="42">
        <f t="shared" ref="O76" si="46">+O75+O73</f>
        <v>80</v>
      </c>
    </row>
    <row r="77" spans="1:15">
      <c r="A77" s="2" t="s">
        <v>115</v>
      </c>
      <c r="B77" s="11" t="s">
        <v>111</v>
      </c>
      <c r="C77" s="42">
        <f>+C75+C74</f>
        <v>78.5</v>
      </c>
      <c r="D77" s="42">
        <f t="shared" ref="D77:F77" si="47">+D75+D74</f>
        <v>78.5</v>
      </c>
      <c r="E77" s="42">
        <f t="shared" si="47"/>
        <v>78.5</v>
      </c>
      <c r="F77" s="42">
        <f t="shared" si="47"/>
        <v>78.5</v>
      </c>
      <c r="G77" s="42">
        <f t="shared" ref="G77:J77" si="48">+G75+G74</f>
        <v>78.5</v>
      </c>
      <c r="H77" s="42">
        <f t="shared" si="48"/>
        <v>78.5</v>
      </c>
      <c r="I77" s="42">
        <f t="shared" si="48"/>
        <v>78.5</v>
      </c>
      <c r="J77" s="42">
        <f t="shared" si="48"/>
        <v>78.5</v>
      </c>
      <c r="K77" s="42">
        <f>+K75+K74</f>
        <v>78.5</v>
      </c>
      <c r="L77" s="42">
        <f t="shared" ref="L77:O77" si="49">+L75+L74</f>
        <v>78.5</v>
      </c>
      <c r="M77" s="42">
        <f t="shared" si="49"/>
        <v>78.5</v>
      </c>
      <c r="N77" s="42">
        <f t="shared" si="49"/>
        <v>78.5</v>
      </c>
      <c r="O77" s="42">
        <f t="shared" si="49"/>
        <v>78.5</v>
      </c>
    </row>
    <row r="78" spans="1:15">
      <c r="A78" s="15" t="s">
        <v>116</v>
      </c>
      <c r="B78" s="16" t="s">
        <v>55</v>
      </c>
      <c r="C78" s="23">
        <f>+'Trens Tipos e Ciclos'!C74</f>
        <v>0.95902150537634401</v>
      </c>
      <c r="D78" s="23">
        <f>+'Trens Tipos e Ciclos'!D74</f>
        <v>0.32585618279569895</v>
      </c>
      <c r="E78" s="23">
        <f>+'Trens Tipos e Ciclos'!E74</f>
        <v>0.81962365591397857</v>
      </c>
      <c r="F78" s="23">
        <f>+'Trens Tipos e Ciclos'!F74</f>
        <v>1.2934434139784945</v>
      </c>
      <c r="G78" s="23">
        <f>+'Trens Tipos e Ciclos'!G74</f>
        <v>0.79166666666666663</v>
      </c>
      <c r="H78" s="23">
        <f>+'Trens Tipos e Ciclos'!H74</f>
        <v>1.1333333333333333</v>
      </c>
      <c r="I78" s="23">
        <f>+'Trens Tipos e Ciclos'!I74</f>
        <v>1.8648924731182797</v>
      </c>
      <c r="J78" s="23">
        <f>+'Trens Tipos e Ciclos'!J74</f>
        <v>1.9506586021505379</v>
      </c>
      <c r="K78" s="23">
        <f>+'Trens Tipos e Ciclos'!K74</f>
        <v>2.4976337365591395</v>
      </c>
      <c r="L78" s="23">
        <f>+'Trens Tipos e Ciclos'!L74</f>
        <v>1.2673790322580645</v>
      </c>
      <c r="M78" s="23">
        <f>+'Trens Tipos e Ciclos'!M74</f>
        <v>2.03494623655914</v>
      </c>
      <c r="N78" s="23">
        <f>+'Trens Tipos e Ciclos'!N74</f>
        <v>0.91346153846153855</v>
      </c>
      <c r="O78" s="23">
        <f>+'Trens Tipos e Ciclos'!O74</f>
        <v>1.0488782051282051</v>
      </c>
    </row>
    <row r="79" spans="1:15" ht="15.75">
      <c r="A79" s="10" t="s">
        <v>117</v>
      </c>
      <c r="B79" s="11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</row>
    <row r="80" spans="1:15">
      <c r="A80" s="2" t="s">
        <v>118</v>
      </c>
      <c r="B80" s="11" t="s">
        <v>119</v>
      </c>
      <c r="C80" s="45">
        <f>ROUNDUP(C72*C78*C61/(C58/100),0)</f>
        <v>30</v>
      </c>
      <c r="D80" s="45">
        <f>ROUNDUP(D72*D78*D61/(D58/100),0)</f>
        <v>15</v>
      </c>
      <c r="E80" s="45">
        <f t="shared" ref="E80:O80" si="50">ROUNDUP(E72*E78*E61/(E58/100),0)</f>
        <v>19</v>
      </c>
      <c r="F80" s="45">
        <f t="shared" si="50"/>
        <v>17</v>
      </c>
      <c r="G80" s="45">
        <f t="shared" si="50"/>
        <v>17</v>
      </c>
      <c r="H80" s="45">
        <f t="shared" si="50"/>
        <v>7</v>
      </c>
      <c r="I80" s="45">
        <f t="shared" si="50"/>
        <v>10</v>
      </c>
      <c r="J80" s="45">
        <f t="shared" si="50"/>
        <v>6</v>
      </c>
      <c r="K80" s="45">
        <f t="shared" si="50"/>
        <v>32</v>
      </c>
      <c r="L80" s="45">
        <f>ROUNDUP(L72*L78*L61/(L58/100),0)</f>
        <v>9</v>
      </c>
      <c r="M80" s="45">
        <f t="shared" si="50"/>
        <v>16</v>
      </c>
      <c r="N80" s="45">
        <f t="shared" si="50"/>
        <v>15</v>
      </c>
      <c r="O80" s="45">
        <f t="shared" si="50"/>
        <v>22</v>
      </c>
    </row>
    <row r="81" spans="1:15">
      <c r="A81" s="15" t="s">
        <v>120</v>
      </c>
      <c r="B81" s="16" t="s">
        <v>119</v>
      </c>
      <c r="C81" s="15">
        <f>+Premissas!C50</f>
        <v>4</v>
      </c>
      <c r="D81" s="15">
        <f>+Premissas!D50</f>
        <v>2</v>
      </c>
      <c r="E81" s="15">
        <f>+Premissas!E50</f>
        <v>2</v>
      </c>
      <c r="F81" s="15">
        <f>+Premissas!F50</f>
        <v>2</v>
      </c>
      <c r="G81" s="15">
        <f>+Premissas!G50</f>
        <v>1</v>
      </c>
      <c r="H81" s="15">
        <f>+Premissas!H50</f>
        <v>1</v>
      </c>
      <c r="I81" s="15">
        <f>+Premissas!I50</f>
        <v>1</v>
      </c>
      <c r="J81" s="15">
        <f>+Premissas!J50</f>
        <v>1</v>
      </c>
      <c r="K81" s="15">
        <f>+Premissas!K50</f>
        <v>1</v>
      </c>
      <c r="L81" s="15">
        <f>+Premissas!L50</f>
        <v>1</v>
      </c>
      <c r="M81" s="15">
        <f>+Premissas!M50</f>
        <v>1</v>
      </c>
      <c r="N81" s="15">
        <f>+Premissas!N50</f>
        <v>1</v>
      </c>
      <c r="O81" s="15">
        <f>+Premissas!O50</f>
        <v>2</v>
      </c>
    </row>
    <row r="82" spans="1:15" ht="15.75">
      <c r="A82" s="46" t="s">
        <v>121</v>
      </c>
      <c r="B82" s="47" t="s">
        <v>119</v>
      </c>
      <c r="C82" s="46">
        <f>+ROUNDUP((C80+C81),0)</f>
        <v>34</v>
      </c>
      <c r="D82" s="46">
        <f>+ROUNDUP((D80+D81),0)</f>
        <v>17</v>
      </c>
      <c r="E82" s="46">
        <f t="shared" ref="E82:O82" si="51">+ROUNDUP((E80+E81),0)</f>
        <v>21</v>
      </c>
      <c r="F82" s="46">
        <f t="shared" si="51"/>
        <v>19</v>
      </c>
      <c r="G82" s="46">
        <f t="shared" si="51"/>
        <v>18</v>
      </c>
      <c r="H82" s="46">
        <f t="shared" si="51"/>
        <v>8</v>
      </c>
      <c r="I82" s="46">
        <f t="shared" si="51"/>
        <v>11</v>
      </c>
      <c r="J82" s="46">
        <f t="shared" si="51"/>
        <v>7</v>
      </c>
      <c r="K82" s="46">
        <f t="shared" si="51"/>
        <v>33</v>
      </c>
      <c r="L82" s="46">
        <f>+ROUNDUP((L80+L81),0)</f>
        <v>10</v>
      </c>
      <c r="M82" s="46">
        <f t="shared" si="51"/>
        <v>17</v>
      </c>
      <c r="N82" s="46">
        <f t="shared" si="51"/>
        <v>16</v>
      </c>
      <c r="O82" s="46">
        <f t="shared" si="51"/>
        <v>24</v>
      </c>
    </row>
    <row r="83" spans="1:15" ht="15.75">
      <c r="A83" s="48" t="s">
        <v>122</v>
      </c>
      <c r="B83" s="25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</row>
    <row r="84" spans="1:15" ht="16.5" thickBot="1">
      <c r="A84" s="4" t="s">
        <v>123</v>
      </c>
      <c r="B84" s="49" t="s">
        <v>124</v>
      </c>
      <c r="C84" s="4">
        <f>+ROUNDUP((C72*C62*C78/(C59/100)),0)</f>
        <v>795</v>
      </c>
      <c r="D84" s="4">
        <f>+ROUNDUP((D72*D62*D78/(D59/100)),0)</f>
        <v>392</v>
      </c>
      <c r="E84" s="4">
        <f t="shared" ref="E84:O84" si="52">+ROUNDUP((E72*E62*E78/(E59/100)),0)</f>
        <v>363</v>
      </c>
      <c r="F84" s="4">
        <f t="shared" si="52"/>
        <v>313</v>
      </c>
      <c r="G84" s="4">
        <f t="shared" si="52"/>
        <v>323</v>
      </c>
      <c r="H84" s="4">
        <f t="shared" si="52"/>
        <v>134</v>
      </c>
      <c r="I84" s="4">
        <f t="shared" si="52"/>
        <v>245</v>
      </c>
      <c r="J84" s="4">
        <f t="shared" si="52"/>
        <v>135</v>
      </c>
      <c r="K84" s="4">
        <f t="shared" si="52"/>
        <v>518</v>
      </c>
      <c r="L84" s="4">
        <f>+ROUNDUP((L72*L62*L78/(L59/100)),0)</f>
        <v>141</v>
      </c>
      <c r="M84" s="4">
        <f t="shared" si="52"/>
        <v>86</v>
      </c>
      <c r="N84" s="4">
        <f t="shared" si="52"/>
        <v>105</v>
      </c>
      <c r="O84" s="4">
        <f t="shared" si="52"/>
        <v>173</v>
      </c>
    </row>
    <row r="85" spans="1:15">
      <c r="A85" s="54" t="s">
        <v>64</v>
      </c>
      <c r="B85" s="54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</row>
    <row r="88" spans="1:15" ht="15.75">
      <c r="A88" s="1" t="s">
        <v>127</v>
      </c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</row>
    <row r="89" spans="1:15" ht="16.5" thickBot="1">
      <c r="A89" s="38" t="s">
        <v>128</v>
      </c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</row>
    <row r="90" spans="1:15" ht="15.75">
      <c r="A90" s="186" t="s">
        <v>1</v>
      </c>
      <c r="B90" s="186" t="s">
        <v>2</v>
      </c>
      <c r="C90" s="189" t="s">
        <v>3</v>
      </c>
      <c r="D90" s="189"/>
      <c r="E90" s="189"/>
      <c r="F90" s="189"/>
      <c r="G90" s="189"/>
      <c r="H90" s="189"/>
      <c r="I90" s="189"/>
      <c r="J90" s="189"/>
      <c r="K90" s="189"/>
      <c r="L90" s="189"/>
      <c r="M90" s="189"/>
      <c r="N90" s="189"/>
      <c r="O90" s="189"/>
    </row>
    <row r="91" spans="1:15" ht="15.75">
      <c r="A91" s="187"/>
      <c r="B91" s="187"/>
      <c r="C91" s="190" t="s">
        <v>4</v>
      </c>
      <c r="D91" s="190"/>
      <c r="E91" s="190"/>
      <c r="F91" s="190"/>
      <c r="G91" s="190"/>
      <c r="H91" s="35"/>
      <c r="I91" s="190" t="s">
        <v>5</v>
      </c>
      <c r="J91" s="190"/>
      <c r="K91" s="190" t="s">
        <v>6</v>
      </c>
      <c r="L91" s="190"/>
      <c r="M91" s="190"/>
      <c r="N91" s="190" t="s">
        <v>7</v>
      </c>
      <c r="O91" s="190"/>
    </row>
    <row r="92" spans="1:15" ht="15.75">
      <c r="A92" s="187"/>
      <c r="B92" s="187"/>
      <c r="C92" s="191" t="s">
        <v>8</v>
      </c>
      <c r="D92" s="191"/>
      <c r="E92" s="191"/>
      <c r="F92" s="191"/>
      <c r="G92" s="190" t="s">
        <v>9</v>
      </c>
      <c r="H92" s="190"/>
      <c r="I92" s="191" t="s">
        <v>10</v>
      </c>
      <c r="J92" s="191"/>
      <c r="K92" s="191" t="s">
        <v>11</v>
      </c>
      <c r="L92" s="191"/>
      <c r="M92" s="191"/>
      <c r="N92" s="35" t="s">
        <v>12</v>
      </c>
      <c r="O92" s="35" t="s">
        <v>13</v>
      </c>
    </row>
    <row r="93" spans="1:15" ht="15.75">
      <c r="A93" s="187"/>
      <c r="B93" s="187"/>
      <c r="C93" s="7" t="s">
        <v>14</v>
      </c>
      <c r="D93" s="36" t="str">
        <f>+C94</f>
        <v>Iguaçu</v>
      </c>
      <c r="E93" s="7" t="str">
        <f>+D94</f>
        <v>Desvio Ribas</v>
      </c>
      <c r="F93" s="36" t="s">
        <v>78</v>
      </c>
      <c r="G93" s="36" t="str">
        <f>+E94</f>
        <v>Guarapuava</v>
      </c>
      <c r="H93" s="36" t="str">
        <f>+G94</f>
        <v>Cascavel</v>
      </c>
      <c r="I93" s="7" t="s">
        <v>79</v>
      </c>
      <c r="J93" s="36" t="s">
        <v>15</v>
      </c>
      <c r="K93" s="36" t="str">
        <f>+J94</f>
        <v>Front. Argentina</v>
      </c>
      <c r="L93" s="36" t="str">
        <f>+K94</f>
        <v>J.V. Gonzalez</v>
      </c>
      <c r="M93" s="7" t="str">
        <f>+L94</f>
        <v>Salta</v>
      </c>
      <c r="N93" s="36" t="str">
        <f>+M94</f>
        <v>Socompa</v>
      </c>
      <c r="O93" s="7" t="str">
        <f>+N94</f>
        <v>A Victoria</v>
      </c>
    </row>
    <row r="94" spans="1:15" ht="16.5" thickBot="1">
      <c r="A94" s="188"/>
      <c r="B94" s="188"/>
      <c r="C94" s="37" t="s">
        <v>80</v>
      </c>
      <c r="D94" s="37" t="s">
        <v>16</v>
      </c>
      <c r="E94" s="37" t="s">
        <v>17</v>
      </c>
      <c r="F94" s="37" t="s">
        <v>81</v>
      </c>
      <c r="G94" s="37" t="s">
        <v>18</v>
      </c>
      <c r="H94" s="37" t="s">
        <v>82</v>
      </c>
      <c r="I94" s="37" t="s">
        <v>19</v>
      </c>
      <c r="J94" s="37" t="s">
        <v>83</v>
      </c>
      <c r="K94" s="37" t="s">
        <v>84</v>
      </c>
      <c r="L94" s="37" t="s">
        <v>20</v>
      </c>
      <c r="M94" s="37" t="s">
        <v>21</v>
      </c>
      <c r="N94" s="37" t="s">
        <v>22</v>
      </c>
      <c r="O94" s="37" t="s">
        <v>23</v>
      </c>
    </row>
    <row r="95" spans="1:15" ht="15.75">
      <c r="A95" s="10" t="s">
        <v>87</v>
      </c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</row>
    <row r="96" spans="1:15">
      <c r="A96" s="2" t="s">
        <v>88</v>
      </c>
      <c r="B96" s="11" t="s">
        <v>89</v>
      </c>
      <c r="C96" s="13">
        <f>+Premissas!C13</f>
        <v>15000000</v>
      </c>
      <c r="D96" s="13">
        <f>+Premissas!D13</f>
        <v>21100000</v>
      </c>
      <c r="E96" s="13">
        <f>+Premissas!E13</f>
        <v>9100000</v>
      </c>
      <c r="F96" s="13">
        <f>+Premissas!F13</f>
        <v>4500000</v>
      </c>
      <c r="G96" s="13">
        <f>+Premissas!G13</f>
        <v>8500000</v>
      </c>
      <c r="H96" s="13">
        <f>+Premissas!H13</f>
        <v>3100000</v>
      </c>
      <c r="I96" s="13">
        <f>+Premissas!I13</f>
        <v>3300000</v>
      </c>
      <c r="J96" s="13">
        <f>+Premissas!J13</f>
        <v>1500000</v>
      </c>
      <c r="K96" s="13">
        <f>+Premissas!K13</f>
        <v>3800000</v>
      </c>
      <c r="L96" s="13">
        <f>+Premissas!L13</f>
        <v>2000000</v>
      </c>
      <c r="M96" s="13">
        <f>+Premissas!M13</f>
        <v>700000</v>
      </c>
      <c r="N96" s="13">
        <f>+Premissas!N13</f>
        <v>1900000</v>
      </c>
      <c r="O96" s="13">
        <f>+Premissas!O13</f>
        <v>2700000</v>
      </c>
    </row>
    <row r="97" spans="1:15">
      <c r="A97" s="2" t="s">
        <v>90</v>
      </c>
      <c r="B97" s="11" t="s">
        <v>51</v>
      </c>
      <c r="C97" s="19">
        <f>+C54</f>
        <v>108.756</v>
      </c>
      <c r="D97" s="19">
        <f t="shared" ref="D97:O97" si="53">+D54</f>
        <v>117.465</v>
      </c>
      <c r="E97" s="19">
        <f t="shared" si="53"/>
        <v>211.9</v>
      </c>
      <c r="F97" s="19">
        <f t="shared" si="53"/>
        <v>274.30700000000002</v>
      </c>
      <c r="G97" s="19">
        <f t="shared" si="53"/>
        <v>248</v>
      </c>
      <c r="H97" s="19">
        <f t="shared" si="53"/>
        <v>173.6</v>
      </c>
      <c r="I97" s="19">
        <f t="shared" si="53"/>
        <v>288.60000000000002</v>
      </c>
      <c r="J97" s="19">
        <f t="shared" si="53"/>
        <v>324.05</v>
      </c>
      <c r="K97" s="19">
        <f t="shared" si="53"/>
        <v>655.43499999999995</v>
      </c>
      <c r="L97" s="19">
        <f t="shared" si="53"/>
        <v>262.89999999999998</v>
      </c>
      <c r="M97" s="19">
        <f t="shared" si="53"/>
        <v>571</v>
      </c>
      <c r="N97" s="19">
        <f t="shared" si="53"/>
        <v>181</v>
      </c>
      <c r="O97" s="19">
        <f t="shared" si="53"/>
        <v>159</v>
      </c>
    </row>
    <row r="98" spans="1:15">
      <c r="A98" s="2" t="s">
        <v>91</v>
      </c>
      <c r="B98" s="11" t="s">
        <v>92</v>
      </c>
      <c r="C98" s="39">
        <f>+C55</f>
        <v>1</v>
      </c>
      <c r="D98" s="39">
        <f t="shared" ref="D98:O98" si="54">+D55</f>
        <v>0.9</v>
      </c>
      <c r="E98" s="39">
        <f t="shared" si="54"/>
        <v>1</v>
      </c>
      <c r="F98" s="39">
        <f t="shared" si="54"/>
        <v>0.85</v>
      </c>
      <c r="G98" s="39">
        <f t="shared" si="54"/>
        <v>1</v>
      </c>
      <c r="H98" s="39">
        <f t="shared" si="54"/>
        <v>1</v>
      </c>
      <c r="I98" s="39">
        <f t="shared" si="54"/>
        <v>0.9</v>
      </c>
      <c r="J98" s="39">
        <f t="shared" si="54"/>
        <v>0.9</v>
      </c>
      <c r="K98" s="39">
        <f t="shared" si="54"/>
        <v>0.85</v>
      </c>
      <c r="L98" s="39">
        <f t="shared" si="54"/>
        <v>0.85</v>
      </c>
      <c r="M98" s="39">
        <f t="shared" si="54"/>
        <v>1</v>
      </c>
      <c r="N98" s="39">
        <f t="shared" si="54"/>
        <v>1</v>
      </c>
      <c r="O98" s="39">
        <f t="shared" si="54"/>
        <v>0.75</v>
      </c>
    </row>
    <row r="99" spans="1:15">
      <c r="A99" s="2" t="s">
        <v>93</v>
      </c>
      <c r="B99" s="11" t="s">
        <v>51</v>
      </c>
      <c r="C99" s="19">
        <f>+C97*C98</f>
        <v>108.756</v>
      </c>
      <c r="D99" s="19">
        <f t="shared" ref="D99:O99" si="55">+D97*D98</f>
        <v>105.71850000000001</v>
      </c>
      <c r="E99" s="19">
        <f t="shared" si="55"/>
        <v>211.9</v>
      </c>
      <c r="F99" s="19">
        <f t="shared" si="55"/>
        <v>233.16095000000001</v>
      </c>
      <c r="G99" s="19">
        <f t="shared" si="55"/>
        <v>248</v>
      </c>
      <c r="H99" s="19">
        <f t="shared" si="55"/>
        <v>173.6</v>
      </c>
      <c r="I99" s="19">
        <f t="shared" si="55"/>
        <v>259.74</v>
      </c>
      <c r="J99" s="19">
        <f t="shared" si="55"/>
        <v>291.64500000000004</v>
      </c>
      <c r="K99" s="19">
        <f t="shared" si="55"/>
        <v>557.11974999999995</v>
      </c>
      <c r="L99" s="19">
        <f t="shared" si="55"/>
        <v>223.46499999999997</v>
      </c>
      <c r="M99" s="19">
        <f t="shared" si="55"/>
        <v>571</v>
      </c>
      <c r="N99" s="19">
        <f t="shared" si="55"/>
        <v>181</v>
      </c>
      <c r="O99" s="19">
        <f t="shared" si="55"/>
        <v>119.25</v>
      </c>
    </row>
    <row r="100" spans="1:15">
      <c r="A100" s="2" t="s">
        <v>94</v>
      </c>
      <c r="B100" s="18" t="s">
        <v>95</v>
      </c>
      <c r="C100" s="13">
        <f>+C96*C99/1000</f>
        <v>1631340</v>
      </c>
      <c r="D100" s="13">
        <f t="shared" ref="D100:O100" si="56">+D96*D99/1000</f>
        <v>2230660.35</v>
      </c>
      <c r="E100" s="13">
        <f t="shared" si="56"/>
        <v>1928290</v>
      </c>
      <c r="F100" s="13">
        <f t="shared" si="56"/>
        <v>1049224.2750000001</v>
      </c>
      <c r="G100" s="13">
        <f t="shared" si="56"/>
        <v>2108000</v>
      </c>
      <c r="H100" s="13">
        <f t="shared" si="56"/>
        <v>538160</v>
      </c>
      <c r="I100" s="13">
        <f t="shared" si="56"/>
        <v>857142</v>
      </c>
      <c r="J100" s="13">
        <f t="shared" si="56"/>
        <v>437467.50000000006</v>
      </c>
      <c r="K100" s="13">
        <f t="shared" si="56"/>
        <v>2117055.0499999998</v>
      </c>
      <c r="L100" s="13">
        <f t="shared" si="56"/>
        <v>446929.99999999994</v>
      </c>
      <c r="M100" s="13">
        <f t="shared" si="56"/>
        <v>399700</v>
      </c>
      <c r="N100" s="13">
        <f t="shared" si="56"/>
        <v>343900</v>
      </c>
      <c r="O100" s="13">
        <f t="shared" si="56"/>
        <v>321975</v>
      </c>
    </row>
    <row r="101" spans="1:15">
      <c r="A101" s="2" t="s">
        <v>96</v>
      </c>
      <c r="B101" s="11" t="s">
        <v>92</v>
      </c>
      <c r="C101" s="40">
        <f>+C58</f>
        <v>80</v>
      </c>
      <c r="D101" s="40">
        <f t="shared" ref="D101:O101" si="57">+D58</f>
        <v>80</v>
      </c>
      <c r="E101" s="40">
        <f t="shared" si="57"/>
        <v>80</v>
      </c>
      <c r="F101" s="40">
        <f t="shared" si="57"/>
        <v>80</v>
      </c>
      <c r="G101" s="40">
        <f t="shared" si="57"/>
        <v>80</v>
      </c>
      <c r="H101" s="40">
        <f t="shared" si="57"/>
        <v>80</v>
      </c>
      <c r="I101" s="40">
        <f t="shared" si="57"/>
        <v>80</v>
      </c>
      <c r="J101" s="40">
        <f t="shared" si="57"/>
        <v>80</v>
      </c>
      <c r="K101" s="40">
        <f t="shared" si="57"/>
        <v>80</v>
      </c>
      <c r="L101" s="40">
        <f t="shared" si="57"/>
        <v>80</v>
      </c>
      <c r="M101" s="40">
        <f t="shared" si="57"/>
        <v>80</v>
      </c>
      <c r="N101" s="40">
        <f t="shared" si="57"/>
        <v>80</v>
      </c>
      <c r="O101" s="40">
        <f t="shared" si="57"/>
        <v>80</v>
      </c>
    </row>
    <row r="102" spans="1:15">
      <c r="A102" s="15" t="s">
        <v>97</v>
      </c>
      <c r="B102" s="16" t="s">
        <v>92</v>
      </c>
      <c r="C102" s="41">
        <f>+C59</f>
        <v>90</v>
      </c>
      <c r="D102" s="41">
        <f t="shared" ref="D102:O102" si="58">+D59</f>
        <v>90</v>
      </c>
      <c r="E102" s="41">
        <f t="shared" si="58"/>
        <v>90</v>
      </c>
      <c r="F102" s="41">
        <f t="shared" si="58"/>
        <v>90</v>
      </c>
      <c r="G102" s="41">
        <f t="shared" si="58"/>
        <v>90</v>
      </c>
      <c r="H102" s="41">
        <f t="shared" si="58"/>
        <v>90</v>
      </c>
      <c r="I102" s="41">
        <f t="shared" si="58"/>
        <v>90</v>
      </c>
      <c r="J102" s="41">
        <f t="shared" si="58"/>
        <v>90</v>
      </c>
      <c r="K102" s="41">
        <f t="shared" si="58"/>
        <v>90</v>
      </c>
      <c r="L102" s="41">
        <f t="shared" si="58"/>
        <v>90</v>
      </c>
      <c r="M102" s="41">
        <f t="shared" si="58"/>
        <v>90</v>
      </c>
      <c r="N102" s="41">
        <f t="shared" si="58"/>
        <v>90</v>
      </c>
      <c r="O102" s="41">
        <f t="shared" si="58"/>
        <v>90</v>
      </c>
    </row>
    <row r="103" spans="1:15" ht="15.75">
      <c r="A103" s="10" t="s">
        <v>98</v>
      </c>
      <c r="B103" s="11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</row>
    <row r="104" spans="1:15">
      <c r="A104" s="2" t="s">
        <v>29</v>
      </c>
      <c r="B104" s="11" t="s">
        <v>30</v>
      </c>
      <c r="C104" s="2">
        <f t="shared" ref="C104:C106" si="59">+C61</f>
        <v>3</v>
      </c>
      <c r="D104" s="2">
        <f t="shared" ref="D104:H104" si="60">+D61</f>
        <v>3</v>
      </c>
      <c r="E104" s="2">
        <f t="shared" si="60"/>
        <v>4</v>
      </c>
      <c r="F104" s="2">
        <f t="shared" si="60"/>
        <v>2</v>
      </c>
      <c r="G104" s="2">
        <f t="shared" si="60"/>
        <v>4</v>
      </c>
      <c r="H104" s="2">
        <f t="shared" si="60"/>
        <v>4</v>
      </c>
      <c r="I104" s="2">
        <f t="shared" ref="I104:O104" si="61">+I61</f>
        <v>3</v>
      </c>
      <c r="J104" s="2">
        <f t="shared" si="61"/>
        <v>3</v>
      </c>
      <c r="K104" s="2">
        <f t="shared" si="61"/>
        <v>3</v>
      </c>
      <c r="L104" s="2">
        <f t="shared" si="61"/>
        <v>3</v>
      </c>
      <c r="M104" s="2">
        <f t="shared" si="61"/>
        <v>2</v>
      </c>
      <c r="N104" s="2">
        <f t="shared" si="61"/>
        <v>3</v>
      </c>
      <c r="O104" s="2">
        <f t="shared" si="61"/>
        <v>4</v>
      </c>
    </row>
    <row r="105" spans="1:15">
      <c r="A105" s="2" t="s">
        <v>31</v>
      </c>
      <c r="B105" s="11" t="s">
        <v>32</v>
      </c>
      <c r="C105" s="2">
        <f t="shared" si="59"/>
        <v>90</v>
      </c>
      <c r="D105" s="2">
        <f t="shared" ref="D105:H105" si="62">+D62</f>
        <v>90</v>
      </c>
      <c r="E105" s="2">
        <f t="shared" si="62"/>
        <v>90</v>
      </c>
      <c r="F105" s="2">
        <f t="shared" si="62"/>
        <v>42</v>
      </c>
      <c r="G105" s="2">
        <f t="shared" si="62"/>
        <v>90</v>
      </c>
      <c r="H105" s="2">
        <f t="shared" si="62"/>
        <v>90</v>
      </c>
      <c r="I105" s="2">
        <f t="shared" ref="I105:O105" si="63">+I62</f>
        <v>90</v>
      </c>
      <c r="J105" s="2">
        <f t="shared" si="63"/>
        <v>90</v>
      </c>
      <c r="K105" s="2">
        <f t="shared" si="63"/>
        <v>55</v>
      </c>
      <c r="L105" s="2">
        <f t="shared" si="63"/>
        <v>55</v>
      </c>
      <c r="M105" s="2">
        <f t="shared" si="63"/>
        <v>12</v>
      </c>
      <c r="N105" s="2">
        <f t="shared" si="63"/>
        <v>24</v>
      </c>
      <c r="O105" s="2">
        <f t="shared" si="63"/>
        <v>36</v>
      </c>
    </row>
    <row r="106" spans="1:15">
      <c r="A106" s="2" t="s">
        <v>99</v>
      </c>
      <c r="B106" s="11" t="s">
        <v>34</v>
      </c>
      <c r="C106" s="13">
        <f t="shared" si="59"/>
        <v>5265</v>
      </c>
      <c r="D106" s="13">
        <f t="shared" ref="D106:H106" si="64">+D63</f>
        <v>5265</v>
      </c>
      <c r="E106" s="13">
        <f t="shared" si="64"/>
        <v>5265</v>
      </c>
      <c r="F106" s="13">
        <f t="shared" si="64"/>
        <v>2457</v>
      </c>
      <c r="G106" s="13">
        <f t="shared" si="64"/>
        <v>5265</v>
      </c>
      <c r="H106" s="13">
        <f t="shared" si="64"/>
        <v>5265</v>
      </c>
      <c r="I106" s="13">
        <f t="shared" ref="I106:O106" si="65">+I63</f>
        <v>5265</v>
      </c>
      <c r="J106" s="13">
        <f t="shared" si="65"/>
        <v>5265</v>
      </c>
      <c r="K106" s="13">
        <f t="shared" si="65"/>
        <v>3217.5</v>
      </c>
      <c r="L106" s="13">
        <f t="shared" si="65"/>
        <v>3217.5</v>
      </c>
      <c r="M106" s="13">
        <f t="shared" si="65"/>
        <v>702</v>
      </c>
      <c r="N106" s="13">
        <f t="shared" si="65"/>
        <v>1404</v>
      </c>
      <c r="O106" s="13">
        <f t="shared" si="65"/>
        <v>2106</v>
      </c>
    </row>
    <row r="107" spans="1:15">
      <c r="A107" s="2" t="s">
        <v>37</v>
      </c>
      <c r="B107" s="11" t="s">
        <v>38</v>
      </c>
      <c r="C107" s="19">
        <f>+C96/C111*C99</f>
        <v>572600.34</v>
      </c>
      <c r="D107" s="19">
        <f t="shared" ref="D107:H107" si="66">+D96/D111*D99</f>
        <v>556607.90250000008</v>
      </c>
      <c r="E107" s="19">
        <f t="shared" si="66"/>
        <v>1115653.5</v>
      </c>
      <c r="F107" s="19">
        <f t="shared" si="66"/>
        <v>572876.45415000001</v>
      </c>
      <c r="G107" s="19">
        <f t="shared" si="66"/>
        <v>1305720</v>
      </c>
      <c r="H107" s="19">
        <f t="shared" si="66"/>
        <v>914004</v>
      </c>
      <c r="I107" s="19">
        <f t="shared" ref="I107:M107" si="67">+I96/I111*I99</f>
        <v>1367531.1</v>
      </c>
      <c r="J107" s="19">
        <f t="shared" si="67"/>
        <v>1535510.9250000005</v>
      </c>
      <c r="K107" s="19">
        <f t="shared" si="67"/>
        <v>1792532.7956249998</v>
      </c>
      <c r="L107" s="19">
        <f t="shared" si="67"/>
        <v>718998.63749999995</v>
      </c>
      <c r="M107" s="19">
        <f t="shared" si="67"/>
        <v>400842</v>
      </c>
      <c r="N107" s="19">
        <f>+N96/N111*N99</f>
        <v>254124</v>
      </c>
      <c r="O107" s="19">
        <f t="shared" ref="O107" si="68">+O96/O111*O99</f>
        <v>251140.5</v>
      </c>
    </row>
    <row r="108" spans="1:15">
      <c r="A108" s="2" t="s">
        <v>35</v>
      </c>
      <c r="B108" s="11" t="s">
        <v>36</v>
      </c>
      <c r="C108" s="19">
        <f>+C65</f>
        <v>7065</v>
      </c>
      <c r="D108" s="19">
        <f t="shared" ref="D108:H108" si="69">+D65</f>
        <v>7065</v>
      </c>
      <c r="E108" s="19">
        <f t="shared" si="69"/>
        <v>7065</v>
      </c>
      <c r="F108" s="19">
        <f t="shared" si="69"/>
        <v>3297</v>
      </c>
      <c r="G108" s="19">
        <f t="shared" si="69"/>
        <v>7065</v>
      </c>
      <c r="H108" s="19">
        <f t="shared" si="69"/>
        <v>7065</v>
      </c>
      <c r="I108" s="19">
        <f t="shared" ref="I108:M108" si="70">+I65</f>
        <v>7065</v>
      </c>
      <c r="J108" s="19">
        <f t="shared" si="70"/>
        <v>7065</v>
      </c>
      <c r="K108" s="19">
        <f t="shared" si="70"/>
        <v>4317.5</v>
      </c>
      <c r="L108" s="19">
        <f t="shared" si="70"/>
        <v>4317.5</v>
      </c>
      <c r="M108" s="19">
        <f t="shared" si="70"/>
        <v>942</v>
      </c>
      <c r="N108" s="19">
        <f>+N65</f>
        <v>1884</v>
      </c>
      <c r="O108" s="19">
        <f t="shared" ref="O108" si="71">+O65</f>
        <v>2826</v>
      </c>
    </row>
    <row r="109" spans="1:15">
      <c r="A109" s="2" t="s">
        <v>100</v>
      </c>
      <c r="B109" s="11" t="s">
        <v>40</v>
      </c>
      <c r="C109" s="19">
        <f>+'Trens Tipos e Ciclos'!C58</f>
        <v>1515</v>
      </c>
      <c r="D109" s="19">
        <f>+'Trens Tipos e Ciclos'!D58</f>
        <v>1515</v>
      </c>
      <c r="E109" s="19">
        <f>+'Trens Tipos e Ciclos'!E58</f>
        <v>1540</v>
      </c>
      <c r="F109" s="19">
        <f>+'Trens Tipos e Ciclos'!F58</f>
        <v>722</v>
      </c>
      <c r="G109" s="19">
        <f>+'Trens Tipos e Ciclos'!G58</f>
        <v>1540</v>
      </c>
      <c r="H109" s="19">
        <f>+'Trens Tipos e Ciclos'!H58</f>
        <v>1540</v>
      </c>
      <c r="I109" s="19">
        <f>+'Trens Tipos e Ciclos'!I58</f>
        <v>1515</v>
      </c>
      <c r="J109" s="19">
        <f>+'Trens Tipos e Ciclos'!J58</f>
        <v>1515</v>
      </c>
      <c r="K109" s="19">
        <f>+'Trens Tipos e Ciclos'!K58</f>
        <v>955</v>
      </c>
      <c r="L109" s="19">
        <f>+'Trens Tipos e Ciclos'!L58</f>
        <v>955</v>
      </c>
      <c r="M109" s="19">
        <f>+'Trens Tipos e Ciclos'!M58</f>
        <v>232</v>
      </c>
      <c r="N109" s="19">
        <f>+'Trens Tipos e Ciclos'!N58</f>
        <v>444</v>
      </c>
      <c r="O109" s="19">
        <f>+'Trens Tipos e Ciclos'!O58</f>
        <v>656</v>
      </c>
    </row>
    <row r="110" spans="1:15">
      <c r="A110" s="2" t="s">
        <v>101</v>
      </c>
      <c r="B110" s="11" t="s">
        <v>40</v>
      </c>
      <c r="C110" s="19">
        <f>+C109+Premissas!C97*2+Premissas!C98</f>
        <v>1726.34</v>
      </c>
      <c r="D110" s="19">
        <f>+D109+Premissas!D97*2+Premissas!D98</f>
        <v>1726.34</v>
      </c>
      <c r="E110" s="19">
        <f>+E109+Premissas!E97*2+Premissas!E98</f>
        <v>1751.34</v>
      </c>
      <c r="F110" s="19">
        <f>+F109+Premissas!F97*2+Premissas!F98</f>
        <v>933.34</v>
      </c>
      <c r="G110" s="19">
        <f>+G109+Premissas!G97*2+Premissas!G98</f>
        <v>1751.34</v>
      </c>
      <c r="H110" s="19">
        <f>+H109+Premissas!H97*2+Premissas!H98</f>
        <v>1751.34</v>
      </c>
      <c r="I110" s="19">
        <f>+I109+Premissas!I97*2+Premissas!I98</f>
        <v>1726.34</v>
      </c>
      <c r="J110" s="19">
        <f>+J109+Premissas!J97*2+Premissas!J98</f>
        <v>1726.34</v>
      </c>
      <c r="K110" s="19">
        <f>+K109+Premissas!K97*2+Premissas!K98</f>
        <v>1166.3399999999999</v>
      </c>
      <c r="L110" s="19">
        <f>+L109+Premissas!L97*2+Premissas!L98</f>
        <v>1166.3399999999999</v>
      </c>
      <c r="M110" s="19">
        <f>+M109+Premissas!M97*2+Premissas!M98</f>
        <v>443.34000000000003</v>
      </c>
      <c r="N110" s="19">
        <f>+N109+Premissas!N97*2+Premissas!N98</f>
        <v>655.34</v>
      </c>
      <c r="O110" s="19">
        <f>+O109+Premissas!O97*2+Premissas!O98</f>
        <v>867.34</v>
      </c>
    </row>
    <row r="111" spans="1:15">
      <c r="A111" s="2" t="s">
        <v>102</v>
      </c>
      <c r="B111" s="11" t="s">
        <v>103</v>
      </c>
      <c r="C111" s="19">
        <f>+C96/C106</f>
        <v>2849.002849002849</v>
      </c>
      <c r="D111" s="19">
        <f t="shared" ref="D111:H111" si="72">+D96/D106</f>
        <v>4007.5973409306744</v>
      </c>
      <c r="E111" s="19">
        <f t="shared" si="72"/>
        <v>1728.3950617283951</v>
      </c>
      <c r="F111" s="19">
        <f t="shared" si="72"/>
        <v>1831.5018315018315</v>
      </c>
      <c r="G111" s="19">
        <f t="shared" si="72"/>
        <v>1614.4349477682811</v>
      </c>
      <c r="H111" s="19">
        <f t="shared" si="72"/>
        <v>588.79392212725543</v>
      </c>
      <c r="I111" s="19">
        <f t="shared" ref="I111:M111" si="73">+I96/I106</f>
        <v>626.78062678062679</v>
      </c>
      <c r="J111" s="19">
        <f t="shared" si="73"/>
        <v>284.90028490028487</v>
      </c>
      <c r="K111" s="19">
        <f t="shared" si="73"/>
        <v>1181.0411810411811</v>
      </c>
      <c r="L111" s="19">
        <f t="shared" si="73"/>
        <v>621.60062160062159</v>
      </c>
      <c r="M111" s="19">
        <f t="shared" si="73"/>
        <v>997.15099715099711</v>
      </c>
      <c r="N111" s="19">
        <f>+N96/N106</f>
        <v>1353.2763532763533</v>
      </c>
      <c r="O111" s="19">
        <f t="shared" ref="O111" si="74">+O96/O106</f>
        <v>1282.051282051282</v>
      </c>
    </row>
    <row r="112" spans="1:15">
      <c r="A112" s="2" t="s">
        <v>104</v>
      </c>
      <c r="B112" s="11" t="s">
        <v>105</v>
      </c>
      <c r="C112" s="13">
        <f>+C69</f>
        <v>330</v>
      </c>
      <c r="D112" s="13">
        <f t="shared" ref="D112:H112" si="75">+D69</f>
        <v>330</v>
      </c>
      <c r="E112" s="13">
        <f t="shared" si="75"/>
        <v>330</v>
      </c>
      <c r="F112" s="13">
        <f t="shared" si="75"/>
        <v>330</v>
      </c>
      <c r="G112" s="13">
        <f t="shared" si="75"/>
        <v>330</v>
      </c>
      <c r="H112" s="13">
        <f t="shared" si="75"/>
        <v>330</v>
      </c>
      <c r="I112" s="13">
        <f t="shared" ref="I112:M112" si="76">+I69</f>
        <v>330</v>
      </c>
      <c r="J112" s="13">
        <f t="shared" si="76"/>
        <v>330</v>
      </c>
      <c r="K112" s="13">
        <f t="shared" si="76"/>
        <v>330</v>
      </c>
      <c r="L112" s="13">
        <f t="shared" si="76"/>
        <v>330</v>
      </c>
      <c r="M112" s="13">
        <f t="shared" si="76"/>
        <v>300</v>
      </c>
      <c r="N112" s="13">
        <f>+N69</f>
        <v>330</v>
      </c>
      <c r="O112" s="13">
        <f t="shared" ref="O112" si="77">+O69</f>
        <v>330</v>
      </c>
    </row>
    <row r="113" spans="1:15">
      <c r="A113" s="2" t="s">
        <v>106</v>
      </c>
      <c r="B113" s="11" t="s">
        <v>107</v>
      </c>
      <c r="C113" s="42">
        <f>+C111/C112</f>
        <v>8.6333419666752995</v>
      </c>
      <c r="D113" s="42">
        <f t="shared" ref="D113:H113" si="78">+D111/D112</f>
        <v>12.144234366456589</v>
      </c>
      <c r="E113" s="42">
        <f t="shared" si="78"/>
        <v>5.2375607931163488</v>
      </c>
      <c r="F113" s="42">
        <f t="shared" si="78"/>
        <v>5.5500055500055501</v>
      </c>
      <c r="G113" s="42">
        <f t="shared" si="78"/>
        <v>4.8922271144493363</v>
      </c>
      <c r="H113" s="42">
        <f t="shared" si="78"/>
        <v>1.7842240064462285</v>
      </c>
      <c r="I113" s="42">
        <f t="shared" ref="I113" si="79">+I111/I112</f>
        <v>1.899335232668566</v>
      </c>
      <c r="J113" s="42">
        <f t="shared" ref="J113" si="80">+J111/J112</f>
        <v>0.86333419666752997</v>
      </c>
      <c r="K113" s="42">
        <f t="shared" ref="K113" si="81">+K111/K112</f>
        <v>3.5789126698217606</v>
      </c>
      <c r="L113" s="42">
        <f t="shared" ref="L113:M113" si="82">+L111/L112</f>
        <v>1.8836382472746109</v>
      </c>
      <c r="M113" s="42">
        <f t="shared" si="82"/>
        <v>3.3238366571699904</v>
      </c>
      <c r="N113" s="42">
        <f>+N111/N112</f>
        <v>4.1008374341707681</v>
      </c>
      <c r="O113" s="42">
        <f t="shared" ref="O113" si="83">+O111/O112</f>
        <v>3.8850038850038846</v>
      </c>
    </row>
    <row r="114" spans="1:15">
      <c r="A114" s="2" t="s">
        <v>108</v>
      </c>
      <c r="B114" s="11" t="s">
        <v>92</v>
      </c>
      <c r="C114" s="43">
        <f>+C71</f>
        <v>0.2</v>
      </c>
      <c r="D114" s="43">
        <f t="shared" ref="D114:H114" si="84">+D71</f>
        <v>0.2</v>
      </c>
      <c r="E114" s="43">
        <f t="shared" si="84"/>
        <v>0.2</v>
      </c>
      <c r="F114" s="43">
        <f t="shared" si="84"/>
        <v>0.2</v>
      </c>
      <c r="G114" s="43">
        <f t="shared" si="84"/>
        <v>0.2</v>
      </c>
      <c r="H114" s="43">
        <f t="shared" si="84"/>
        <v>0.2</v>
      </c>
      <c r="I114" s="43">
        <f t="shared" ref="I114:M114" si="85">+I71</f>
        <v>0.2</v>
      </c>
      <c r="J114" s="43">
        <f t="shared" si="85"/>
        <v>0.2</v>
      </c>
      <c r="K114" s="43">
        <f t="shared" si="85"/>
        <v>0.2</v>
      </c>
      <c r="L114" s="43">
        <f t="shared" si="85"/>
        <v>0.2</v>
      </c>
      <c r="M114" s="43">
        <f t="shared" si="85"/>
        <v>0.1</v>
      </c>
      <c r="N114" s="43">
        <f>+N71</f>
        <v>0.1</v>
      </c>
      <c r="O114" s="43">
        <f t="shared" ref="O114" si="86">+O71</f>
        <v>0.1</v>
      </c>
    </row>
    <row r="115" spans="1:15">
      <c r="A115" s="2" t="s">
        <v>109</v>
      </c>
      <c r="B115" s="11" t="s">
        <v>107</v>
      </c>
      <c r="C115" s="42">
        <f>+C113+C113*C114</f>
        <v>10.36001036001036</v>
      </c>
      <c r="D115" s="42">
        <f t="shared" ref="D115:H115" si="87">+D113+D113*D114</f>
        <v>14.573081239747907</v>
      </c>
      <c r="E115" s="42">
        <f t="shared" si="87"/>
        <v>6.2850729517396182</v>
      </c>
      <c r="F115" s="42">
        <f t="shared" si="87"/>
        <v>6.6600066600066601</v>
      </c>
      <c r="G115" s="42">
        <f t="shared" si="87"/>
        <v>5.8706725373392032</v>
      </c>
      <c r="H115" s="42">
        <f t="shared" si="87"/>
        <v>2.1410688077354743</v>
      </c>
      <c r="I115" s="42">
        <f t="shared" ref="I115" si="88">+I113+I113*I114</f>
        <v>2.2792022792022792</v>
      </c>
      <c r="J115" s="42">
        <f t="shared" ref="J115" si="89">+J113+J113*J114</f>
        <v>1.0360010360010361</v>
      </c>
      <c r="K115" s="42">
        <f t="shared" ref="K115" si="90">+K113+K113*K114</f>
        <v>4.2946952037861124</v>
      </c>
      <c r="L115" s="42">
        <f t="shared" ref="L115:M115" si="91">+L113+L113*L114</f>
        <v>2.260365896729533</v>
      </c>
      <c r="M115" s="42">
        <f t="shared" si="91"/>
        <v>3.6562203228869894</v>
      </c>
      <c r="N115" s="42">
        <f>+N113+N113*N114</f>
        <v>4.5109211775878446</v>
      </c>
      <c r="O115" s="42">
        <f t="shared" ref="O115" si="92">+O113+O113*O114</f>
        <v>4.2735042735042734</v>
      </c>
    </row>
    <row r="116" spans="1:15">
      <c r="A116" s="2" t="s">
        <v>110</v>
      </c>
      <c r="B116" s="11" t="s">
        <v>111</v>
      </c>
      <c r="C116" s="42">
        <f>+C73</f>
        <v>60</v>
      </c>
      <c r="D116" s="42">
        <f t="shared" ref="D116:H116" si="93">+D73</f>
        <v>60</v>
      </c>
      <c r="E116" s="42">
        <f t="shared" si="93"/>
        <v>60</v>
      </c>
      <c r="F116" s="42">
        <f t="shared" si="93"/>
        <v>60</v>
      </c>
      <c r="G116" s="42">
        <f t="shared" si="93"/>
        <v>60</v>
      </c>
      <c r="H116" s="42">
        <f t="shared" si="93"/>
        <v>60</v>
      </c>
      <c r="I116" s="42">
        <f t="shared" ref="I116:M116" si="94">+I73</f>
        <v>60</v>
      </c>
      <c r="J116" s="42">
        <f t="shared" si="94"/>
        <v>60</v>
      </c>
      <c r="K116" s="42">
        <f t="shared" si="94"/>
        <v>60</v>
      </c>
      <c r="L116" s="42">
        <f t="shared" si="94"/>
        <v>60</v>
      </c>
      <c r="M116" s="42">
        <f t="shared" si="94"/>
        <v>60</v>
      </c>
      <c r="N116" s="42">
        <f>+N73</f>
        <v>60</v>
      </c>
      <c r="O116" s="42">
        <f t="shared" ref="O116" si="95">+O73</f>
        <v>60</v>
      </c>
    </row>
    <row r="117" spans="1:15">
      <c r="A117" s="2" t="s">
        <v>112</v>
      </c>
      <c r="B117" s="11" t="s">
        <v>111</v>
      </c>
      <c r="C117" s="42">
        <f>+C106/C105</f>
        <v>58.5</v>
      </c>
      <c r="D117" s="42">
        <f t="shared" ref="D117:H117" si="96">+D106/D105</f>
        <v>58.5</v>
      </c>
      <c r="E117" s="42">
        <f t="shared" si="96"/>
        <v>58.5</v>
      </c>
      <c r="F117" s="42">
        <f t="shared" si="96"/>
        <v>58.5</v>
      </c>
      <c r="G117" s="42">
        <f t="shared" si="96"/>
        <v>58.5</v>
      </c>
      <c r="H117" s="42">
        <f t="shared" si="96"/>
        <v>58.5</v>
      </c>
      <c r="I117" s="42">
        <f t="shared" ref="I117:M117" si="97">+I106/I105</f>
        <v>58.5</v>
      </c>
      <c r="J117" s="42">
        <f t="shared" si="97"/>
        <v>58.5</v>
      </c>
      <c r="K117" s="42">
        <f t="shared" si="97"/>
        <v>58.5</v>
      </c>
      <c r="L117" s="42">
        <f t="shared" si="97"/>
        <v>58.5</v>
      </c>
      <c r="M117" s="42">
        <f t="shared" si="97"/>
        <v>58.5</v>
      </c>
      <c r="N117" s="42">
        <f>+N106/N105</f>
        <v>58.5</v>
      </c>
      <c r="O117" s="42">
        <f t="shared" ref="O117" si="98">+O106/O105</f>
        <v>58.5</v>
      </c>
    </row>
    <row r="118" spans="1:15">
      <c r="A118" s="2" t="s">
        <v>113</v>
      </c>
      <c r="B118" s="11" t="s">
        <v>111</v>
      </c>
      <c r="C118" s="42">
        <f>+C75</f>
        <v>20</v>
      </c>
      <c r="D118" s="42">
        <f t="shared" ref="D118:H118" si="99">+D75</f>
        <v>20</v>
      </c>
      <c r="E118" s="42">
        <f t="shared" si="99"/>
        <v>20</v>
      </c>
      <c r="F118" s="42">
        <f t="shared" si="99"/>
        <v>20</v>
      </c>
      <c r="G118" s="42">
        <f t="shared" si="99"/>
        <v>20</v>
      </c>
      <c r="H118" s="42">
        <f t="shared" si="99"/>
        <v>20</v>
      </c>
      <c r="I118" s="42">
        <f t="shared" ref="I118:M118" si="100">+I75</f>
        <v>20</v>
      </c>
      <c r="J118" s="42">
        <f t="shared" si="100"/>
        <v>20</v>
      </c>
      <c r="K118" s="42">
        <f t="shared" si="100"/>
        <v>20</v>
      </c>
      <c r="L118" s="42">
        <f t="shared" si="100"/>
        <v>20</v>
      </c>
      <c r="M118" s="42">
        <f t="shared" si="100"/>
        <v>20</v>
      </c>
      <c r="N118" s="42">
        <f>+N75</f>
        <v>20</v>
      </c>
      <c r="O118" s="42">
        <f t="shared" ref="O118" si="101">+O75</f>
        <v>20</v>
      </c>
    </row>
    <row r="119" spans="1:15">
      <c r="A119" s="2" t="s">
        <v>114</v>
      </c>
      <c r="B119" s="11" t="s">
        <v>111</v>
      </c>
      <c r="C119" s="44">
        <f>+C118+C116</f>
        <v>80</v>
      </c>
      <c r="D119" s="44">
        <f t="shared" ref="D119:H119" si="102">+D118+D116</f>
        <v>80</v>
      </c>
      <c r="E119" s="44">
        <f t="shared" si="102"/>
        <v>80</v>
      </c>
      <c r="F119" s="44">
        <f t="shared" si="102"/>
        <v>80</v>
      </c>
      <c r="G119" s="44">
        <f t="shared" si="102"/>
        <v>80</v>
      </c>
      <c r="H119" s="44">
        <f t="shared" si="102"/>
        <v>80</v>
      </c>
      <c r="I119" s="44">
        <f t="shared" ref="I119" si="103">+I118+I116</f>
        <v>80</v>
      </c>
      <c r="J119" s="44">
        <f t="shared" ref="J119" si="104">+J118+J116</f>
        <v>80</v>
      </c>
      <c r="K119" s="44">
        <f t="shared" ref="K119" si="105">+K118+K116</f>
        <v>80</v>
      </c>
      <c r="L119" s="44">
        <f t="shared" ref="L119:M119" si="106">+L118+L116</f>
        <v>80</v>
      </c>
      <c r="M119" s="44">
        <f t="shared" si="106"/>
        <v>80</v>
      </c>
      <c r="N119" s="44">
        <f>+N118+N116</f>
        <v>80</v>
      </c>
      <c r="O119" s="44">
        <f t="shared" ref="O119" si="107">+O118+O116</f>
        <v>80</v>
      </c>
    </row>
    <row r="120" spans="1:15">
      <c r="A120" s="2" t="s">
        <v>115</v>
      </c>
      <c r="B120" s="11" t="s">
        <v>111</v>
      </c>
      <c r="C120" s="42">
        <f>+C118+C117</f>
        <v>78.5</v>
      </c>
      <c r="D120" s="42">
        <f t="shared" ref="D120:H120" si="108">+D118+D117</f>
        <v>78.5</v>
      </c>
      <c r="E120" s="42">
        <f t="shared" si="108"/>
        <v>78.5</v>
      </c>
      <c r="F120" s="42">
        <f t="shared" si="108"/>
        <v>78.5</v>
      </c>
      <c r="G120" s="42">
        <f t="shared" si="108"/>
        <v>78.5</v>
      </c>
      <c r="H120" s="42">
        <f t="shared" si="108"/>
        <v>78.5</v>
      </c>
      <c r="I120" s="42">
        <f t="shared" ref="I120:M120" si="109">+I118+I117</f>
        <v>78.5</v>
      </c>
      <c r="J120" s="42">
        <f t="shared" si="109"/>
        <v>78.5</v>
      </c>
      <c r="K120" s="42">
        <f t="shared" si="109"/>
        <v>78.5</v>
      </c>
      <c r="L120" s="42">
        <f t="shared" si="109"/>
        <v>78.5</v>
      </c>
      <c r="M120" s="42">
        <f t="shared" si="109"/>
        <v>78.5</v>
      </c>
      <c r="N120" s="42">
        <f>+N118+N117</f>
        <v>78.5</v>
      </c>
      <c r="O120" s="42">
        <f t="shared" ref="O120" si="110">+O118+O117</f>
        <v>78.5</v>
      </c>
    </row>
    <row r="121" spans="1:15">
      <c r="A121" s="15" t="s">
        <v>116</v>
      </c>
      <c r="B121" s="16" t="s">
        <v>55</v>
      </c>
      <c r="C121" s="23">
        <f>+'Trens Tipos e Ciclos'!C74</f>
        <v>0.95902150537634401</v>
      </c>
      <c r="D121" s="23">
        <f>+'Trens Tipos e Ciclos'!D74</f>
        <v>0.32585618279569895</v>
      </c>
      <c r="E121" s="23">
        <f>+'Trens Tipos e Ciclos'!E74</f>
        <v>0.81962365591397857</v>
      </c>
      <c r="F121" s="23">
        <f>+'Trens Tipos e Ciclos'!F74</f>
        <v>1.2934434139784945</v>
      </c>
      <c r="G121" s="23">
        <f>+'Trens Tipos e Ciclos'!G74</f>
        <v>0.79166666666666663</v>
      </c>
      <c r="H121" s="23">
        <f>+'Trens Tipos e Ciclos'!H74</f>
        <v>1.1333333333333333</v>
      </c>
      <c r="I121" s="23">
        <f>+'Trens Tipos e Ciclos'!I74</f>
        <v>1.8648924731182797</v>
      </c>
      <c r="J121" s="23">
        <f>+'Trens Tipos e Ciclos'!J74</f>
        <v>1.9506586021505379</v>
      </c>
      <c r="K121" s="23">
        <f>+'Trens Tipos e Ciclos'!K74</f>
        <v>2.4976337365591395</v>
      </c>
      <c r="L121" s="23">
        <f>+'Trens Tipos e Ciclos'!L74</f>
        <v>1.2673790322580645</v>
      </c>
      <c r="M121" s="23">
        <f>+'Trens Tipos e Ciclos'!M74</f>
        <v>2.03494623655914</v>
      </c>
      <c r="N121" s="23">
        <f>+'Trens Tipos e Ciclos'!N74</f>
        <v>0.91346153846153855</v>
      </c>
      <c r="O121" s="23">
        <f>+'Trens Tipos e Ciclos'!O74</f>
        <v>1.0488782051282051</v>
      </c>
    </row>
    <row r="122" spans="1:15" ht="15.75">
      <c r="A122" s="10" t="s">
        <v>117</v>
      </c>
      <c r="B122" s="11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</row>
    <row r="123" spans="1:15">
      <c r="A123" s="2" t="s">
        <v>118</v>
      </c>
      <c r="B123" s="11" t="s">
        <v>119</v>
      </c>
      <c r="C123" s="45">
        <f>ROUNDUP(C115*C121*C104/(C101/100),0)</f>
        <v>38</v>
      </c>
      <c r="D123" s="45">
        <f t="shared" ref="D123:H123" si="111">ROUNDUP(D115*D121*D104/(D101/100),0)</f>
        <v>18</v>
      </c>
      <c r="E123" s="45">
        <f t="shared" si="111"/>
        <v>26</v>
      </c>
      <c r="F123" s="45">
        <f t="shared" si="111"/>
        <v>22</v>
      </c>
      <c r="G123" s="45">
        <f t="shared" si="111"/>
        <v>24</v>
      </c>
      <c r="H123" s="45">
        <f t="shared" si="111"/>
        <v>13</v>
      </c>
      <c r="I123" s="45">
        <f t="shared" ref="I123:M123" si="112">ROUNDUP(I115*I121*I104/(I101/100),0)</f>
        <v>16</v>
      </c>
      <c r="J123" s="45">
        <f t="shared" si="112"/>
        <v>8</v>
      </c>
      <c r="K123" s="45">
        <f t="shared" si="112"/>
        <v>41</v>
      </c>
      <c r="L123" s="45">
        <f t="shared" si="112"/>
        <v>11</v>
      </c>
      <c r="M123" s="45">
        <f t="shared" si="112"/>
        <v>19</v>
      </c>
      <c r="N123" s="45">
        <f>ROUNDUP(N115*N121*N104/(N101/100),0)</f>
        <v>16</v>
      </c>
      <c r="O123" s="45">
        <f t="shared" ref="O123" si="113">ROUNDUP(O115*O121*O104/(O101/100),0)</f>
        <v>23</v>
      </c>
    </row>
    <row r="124" spans="1:15">
      <c r="A124" s="15" t="s">
        <v>120</v>
      </c>
      <c r="B124" s="16" t="s">
        <v>119</v>
      </c>
      <c r="C124" s="15">
        <f>+Premissas!C51</f>
        <v>6</v>
      </c>
      <c r="D124" s="15">
        <f>+Premissas!D51</f>
        <v>3</v>
      </c>
      <c r="E124" s="15">
        <f>+Premissas!E51</f>
        <v>3</v>
      </c>
      <c r="F124" s="15">
        <f>+Premissas!F51</f>
        <v>3</v>
      </c>
      <c r="G124" s="15">
        <f>+Premissas!G51</f>
        <v>2</v>
      </c>
      <c r="H124" s="15">
        <f>+Premissas!H51</f>
        <v>1</v>
      </c>
      <c r="I124" s="15">
        <f>+Premissas!I51</f>
        <v>2</v>
      </c>
      <c r="J124" s="15">
        <f>+Premissas!J51</f>
        <v>1</v>
      </c>
      <c r="K124" s="15">
        <f>+Premissas!K51</f>
        <v>2</v>
      </c>
      <c r="L124" s="15">
        <f>+Premissas!L51</f>
        <v>1</v>
      </c>
      <c r="M124" s="15">
        <f>+Premissas!M51</f>
        <v>1</v>
      </c>
      <c r="N124" s="15">
        <f>+Premissas!N51</f>
        <v>2</v>
      </c>
      <c r="O124" s="15">
        <f>+Premissas!O51</f>
        <v>3</v>
      </c>
    </row>
    <row r="125" spans="1:15" ht="15.75">
      <c r="A125" s="46" t="s">
        <v>121</v>
      </c>
      <c r="B125" s="47" t="s">
        <v>119</v>
      </c>
      <c r="C125" s="46">
        <f>+ROUNDUP((C123+C124),0)</f>
        <v>44</v>
      </c>
      <c r="D125" s="46">
        <f>+ROUNDUP((D123+D124),0)</f>
        <v>21</v>
      </c>
      <c r="E125" s="46">
        <f t="shared" ref="E125:O125" si="114">+ROUNDUP((E123+E124),0)</f>
        <v>29</v>
      </c>
      <c r="F125" s="46">
        <f t="shared" si="114"/>
        <v>25</v>
      </c>
      <c r="G125" s="46">
        <f t="shared" si="114"/>
        <v>26</v>
      </c>
      <c r="H125" s="46">
        <f t="shared" si="114"/>
        <v>14</v>
      </c>
      <c r="I125" s="46">
        <f t="shared" si="114"/>
        <v>18</v>
      </c>
      <c r="J125" s="46">
        <f t="shared" si="114"/>
        <v>9</v>
      </c>
      <c r="K125" s="46">
        <f t="shared" si="114"/>
        <v>43</v>
      </c>
      <c r="L125" s="46">
        <f>+ROUNDUP((L123+L124),0)</f>
        <v>12</v>
      </c>
      <c r="M125" s="46">
        <f t="shared" si="114"/>
        <v>20</v>
      </c>
      <c r="N125" s="46">
        <f t="shared" si="114"/>
        <v>18</v>
      </c>
      <c r="O125" s="46">
        <f t="shared" si="114"/>
        <v>26</v>
      </c>
    </row>
    <row r="126" spans="1:15" ht="15.75">
      <c r="A126" s="48" t="s">
        <v>122</v>
      </c>
      <c r="B126" s="25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</row>
    <row r="127" spans="1:15" ht="16.5" thickBot="1">
      <c r="A127" s="4" t="s">
        <v>123</v>
      </c>
      <c r="B127" s="49" t="s">
        <v>124</v>
      </c>
      <c r="C127" s="4">
        <f>+ROUNDUP((C115*C105*C121/(C102/100)),0)</f>
        <v>994</v>
      </c>
      <c r="D127" s="55">
        <f>+ROUNDUP((D115*D105*D121/(D102/100)),0)</f>
        <v>475</v>
      </c>
      <c r="E127" s="4">
        <f t="shared" ref="E127:O127" si="115">+ROUNDUP((E115*E105*E121/(E102/100)),0)</f>
        <v>516</v>
      </c>
      <c r="F127" s="4">
        <f t="shared" si="115"/>
        <v>403</v>
      </c>
      <c r="G127" s="4">
        <f t="shared" si="115"/>
        <v>465</v>
      </c>
      <c r="H127" s="4">
        <f t="shared" si="115"/>
        <v>243</v>
      </c>
      <c r="I127" s="4">
        <f t="shared" si="115"/>
        <v>426</v>
      </c>
      <c r="J127" s="4">
        <f t="shared" si="115"/>
        <v>203</v>
      </c>
      <c r="K127" s="4">
        <f t="shared" si="115"/>
        <v>656</v>
      </c>
      <c r="L127" s="4">
        <f>+ROUNDUP((L115*L105*L121/(L102/100)),0)</f>
        <v>176</v>
      </c>
      <c r="M127" s="4">
        <f t="shared" si="115"/>
        <v>100</v>
      </c>
      <c r="N127" s="4">
        <f t="shared" si="115"/>
        <v>110</v>
      </c>
      <c r="O127" s="4">
        <f t="shared" si="115"/>
        <v>180</v>
      </c>
    </row>
    <row r="128" spans="1:15">
      <c r="A128" s="54" t="s">
        <v>64</v>
      </c>
      <c r="B128" s="54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</row>
    <row r="130" spans="1:15">
      <c r="C130" s="52"/>
      <c r="D130" s="52"/>
      <c r="E130" s="52"/>
      <c r="F130" s="52"/>
      <c r="G130" s="52"/>
      <c r="H130" s="52"/>
      <c r="I130" s="52"/>
      <c r="J130" s="52"/>
      <c r="K130" s="52"/>
      <c r="L130" s="52"/>
      <c r="M130" s="52"/>
      <c r="N130" s="52"/>
      <c r="O130" s="52"/>
    </row>
    <row r="131" spans="1:15" ht="15.75">
      <c r="A131" s="1" t="s">
        <v>129</v>
      </c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</row>
    <row r="132" spans="1:15" ht="16.5" thickBot="1">
      <c r="A132" s="38" t="s">
        <v>130</v>
      </c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</row>
    <row r="133" spans="1:15" ht="15.75">
      <c r="A133" s="186" t="s">
        <v>1</v>
      </c>
      <c r="B133" s="186" t="s">
        <v>2</v>
      </c>
      <c r="C133" s="189" t="s">
        <v>3</v>
      </c>
      <c r="D133" s="189"/>
      <c r="E133" s="189"/>
      <c r="F133" s="189"/>
      <c r="G133" s="189"/>
      <c r="H133" s="189"/>
      <c r="I133" s="189"/>
      <c r="J133" s="189"/>
      <c r="K133" s="189"/>
      <c r="L133" s="189"/>
      <c r="M133" s="189"/>
      <c r="N133" s="189"/>
      <c r="O133" s="189"/>
    </row>
    <row r="134" spans="1:15" ht="15.75">
      <c r="A134" s="187"/>
      <c r="B134" s="187"/>
      <c r="C134" s="190" t="s">
        <v>4</v>
      </c>
      <c r="D134" s="190"/>
      <c r="E134" s="190"/>
      <c r="F134" s="190"/>
      <c r="G134" s="190"/>
      <c r="H134" s="35"/>
      <c r="I134" s="190" t="s">
        <v>5</v>
      </c>
      <c r="J134" s="190"/>
      <c r="K134" s="190" t="s">
        <v>6</v>
      </c>
      <c r="L134" s="190"/>
      <c r="M134" s="190"/>
      <c r="N134" s="190" t="s">
        <v>7</v>
      </c>
      <c r="O134" s="190"/>
    </row>
    <row r="135" spans="1:15" ht="15.75">
      <c r="A135" s="187"/>
      <c r="B135" s="187"/>
      <c r="C135" s="191" t="s">
        <v>8</v>
      </c>
      <c r="D135" s="191"/>
      <c r="E135" s="191"/>
      <c r="F135" s="191"/>
      <c r="G135" s="190" t="s">
        <v>9</v>
      </c>
      <c r="H135" s="190"/>
      <c r="I135" s="191" t="s">
        <v>10</v>
      </c>
      <c r="J135" s="191"/>
      <c r="K135" s="191" t="s">
        <v>11</v>
      </c>
      <c r="L135" s="191"/>
      <c r="M135" s="191"/>
      <c r="N135" s="35" t="s">
        <v>12</v>
      </c>
      <c r="O135" s="35" t="s">
        <v>13</v>
      </c>
    </row>
    <row r="136" spans="1:15" ht="15.75">
      <c r="A136" s="187"/>
      <c r="B136" s="187"/>
      <c r="C136" s="7" t="s">
        <v>14</v>
      </c>
      <c r="D136" s="36" t="str">
        <f>+C137</f>
        <v>Iguaçu</v>
      </c>
      <c r="E136" s="7" t="str">
        <f>+D137</f>
        <v>Desvio Ribas</v>
      </c>
      <c r="F136" s="36" t="s">
        <v>78</v>
      </c>
      <c r="G136" s="36" t="str">
        <f>+E137</f>
        <v>Guarapuava</v>
      </c>
      <c r="H136" s="36" t="str">
        <f>+G137</f>
        <v>Cascavel</v>
      </c>
      <c r="I136" s="7" t="s">
        <v>79</v>
      </c>
      <c r="J136" s="36" t="s">
        <v>15</v>
      </c>
      <c r="K136" s="36" t="str">
        <f>+J137</f>
        <v>Front. Argentina</v>
      </c>
      <c r="L136" s="36" t="str">
        <f>+K137</f>
        <v>J.V. Gonzalez</v>
      </c>
      <c r="M136" s="7" t="str">
        <f>+L137</f>
        <v>Salta</v>
      </c>
      <c r="N136" s="36" t="str">
        <f>+M137</f>
        <v>Socompa</v>
      </c>
      <c r="O136" s="7" t="str">
        <f>+N137</f>
        <v>A Victoria</v>
      </c>
    </row>
    <row r="137" spans="1:15" ht="16.5" thickBot="1">
      <c r="A137" s="188"/>
      <c r="B137" s="188"/>
      <c r="C137" s="37" t="s">
        <v>80</v>
      </c>
      <c r="D137" s="37" t="s">
        <v>16</v>
      </c>
      <c r="E137" s="37" t="s">
        <v>17</v>
      </c>
      <c r="F137" s="37" t="s">
        <v>81</v>
      </c>
      <c r="G137" s="37" t="s">
        <v>18</v>
      </c>
      <c r="H137" s="37" t="s">
        <v>82</v>
      </c>
      <c r="I137" s="37" t="s">
        <v>19</v>
      </c>
      <c r="J137" s="37" t="s">
        <v>83</v>
      </c>
      <c r="K137" s="37" t="s">
        <v>84</v>
      </c>
      <c r="L137" s="37" t="s">
        <v>20</v>
      </c>
      <c r="M137" s="37" t="s">
        <v>21</v>
      </c>
      <c r="N137" s="37" t="s">
        <v>22</v>
      </c>
      <c r="O137" s="37" t="s">
        <v>23</v>
      </c>
    </row>
    <row r="138" spans="1:15" ht="15.75">
      <c r="A138" s="10" t="s">
        <v>87</v>
      </c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</row>
    <row r="139" spans="1:15">
      <c r="A139" s="2" t="s">
        <v>88</v>
      </c>
      <c r="B139" s="11" t="s">
        <v>89</v>
      </c>
      <c r="C139" s="13">
        <f>+Premissas!C14</f>
        <v>18700000</v>
      </c>
      <c r="D139" s="13">
        <f>+Premissas!D14</f>
        <v>25000000</v>
      </c>
      <c r="E139" s="13">
        <f>+Premissas!E14</f>
        <v>12000000</v>
      </c>
      <c r="F139" s="13">
        <f>+Premissas!F14</f>
        <v>5500000</v>
      </c>
      <c r="G139" s="13">
        <f>+Premissas!G14</f>
        <v>11200000</v>
      </c>
      <c r="H139" s="13">
        <f>+Premissas!H14</f>
        <v>4200000</v>
      </c>
      <c r="I139" s="13">
        <f>+Premissas!I14</f>
        <v>4300000</v>
      </c>
      <c r="J139" s="13">
        <f>+Premissas!J14</f>
        <v>2000000</v>
      </c>
      <c r="K139" s="13">
        <f>+Premissas!K14</f>
        <v>4600000</v>
      </c>
      <c r="L139" s="13">
        <f>+Premissas!L14</f>
        <v>3500000</v>
      </c>
      <c r="M139" s="13">
        <f>+Premissas!M14</f>
        <v>800000</v>
      </c>
      <c r="N139" s="13">
        <f>+Premissas!N14</f>
        <v>2000000</v>
      </c>
      <c r="O139" s="13">
        <f>+Premissas!O14</f>
        <v>2800000</v>
      </c>
    </row>
    <row r="140" spans="1:15">
      <c r="A140" s="2" t="s">
        <v>90</v>
      </c>
      <c r="B140" s="11" t="s">
        <v>51</v>
      </c>
      <c r="C140" s="19">
        <f>+C97</f>
        <v>108.756</v>
      </c>
      <c r="D140" s="19">
        <f t="shared" ref="D140:O140" si="116">+D97</f>
        <v>117.465</v>
      </c>
      <c r="E140" s="19">
        <f t="shared" si="116"/>
        <v>211.9</v>
      </c>
      <c r="F140" s="19">
        <f t="shared" si="116"/>
        <v>274.30700000000002</v>
      </c>
      <c r="G140" s="19">
        <f t="shared" si="116"/>
        <v>248</v>
      </c>
      <c r="H140" s="19">
        <f t="shared" si="116"/>
        <v>173.6</v>
      </c>
      <c r="I140" s="19">
        <f t="shared" si="116"/>
        <v>288.60000000000002</v>
      </c>
      <c r="J140" s="19">
        <f t="shared" si="116"/>
        <v>324.05</v>
      </c>
      <c r="K140" s="19">
        <f t="shared" si="116"/>
        <v>655.43499999999995</v>
      </c>
      <c r="L140" s="19">
        <f t="shared" si="116"/>
        <v>262.89999999999998</v>
      </c>
      <c r="M140" s="19">
        <f t="shared" si="116"/>
        <v>571</v>
      </c>
      <c r="N140" s="19">
        <f t="shared" si="116"/>
        <v>181</v>
      </c>
      <c r="O140" s="19">
        <f t="shared" si="116"/>
        <v>159</v>
      </c>
    </row>
    <row r="141" spans="1:15">
      <c r="A141" s="2" t="s">
        <v>91</v>
      </c>
      <c r="B141" s="11" t="s">
        <v>92</v>
      </c>
      <c r="C141" s="39">
        <f>+C98</f>
        <v>1</v>
      </c>
      <c r="D141" s="39">
        <f t="shared" ref="D141:O141" si="117">+D98</f>
        <v>0.9</v>
      </c>
      <c r="E141" s="39">
        <f t="shared" si="117"/>
        <v>1</v>
      </c>
      <c r="F141" s="39">
        <f t="shared" si="117"/>
        <v>0.85</v>
      </c>
      <c r="G141" s="39">
        <f t="shared" si="117"/>
        <v>1</v>
      </c>
      <c r="H141" s="39">
        <f t="shared" si="117"/>
        <v>1</v>
      </c>
      <c r="I141" s="39">
        <f t="shared" si="117"/>
        <v>0.9</v>
      </c>
      <c r="J141" s="39">
        <f t="shared" si="117"/>
        <v>0.9</v>
      </c>
      <c r="K141" s="39">
        <f t="shared" si="117"/>
        <v>0.85</v>
      </c>
      <c r="L141" s="39">
        <f t="shared" si="117"/>
        <v>0.85</v>
      </c>
      <c r="M141" s="39">
        <f t="shared" si="117"/>
        <v>1</v>
      </c>
      <c r="N141" s="39">
        <f t="shared" si="117"/>
        <v>1</v>
      </c>
      <c r="O141" s="39">
        <f t="shared" si="117"/>
        <v>0.75</v>
      </c>
    </row>
    <row r="142" spans="1:15">
      <c r="A142" s="2" t="s">
        <v>93</v>
      </c>
      <c r="B142" s="11" t="s">
        <v>51</v>
      </c>
      <c r="C142" s="19">
        <f>+C140*C141</f>
        <v>108.756</v>
      </c>
      <c r="D142" s="19">
        <f t="shared" ref="D142:O142" si="118">+D140*D141</f>
        <v>105.71850000000001</v>
      </c>
      <c r="E142" s="19">
        <f t="shared" si="118"/>
        <v>211.9</v>
      </c>
      <c r="F142" s="19">
        <f t="shared" si="118"/>
        <v>233.16095000000001</v>
      </c>
      <c r="G142" s="19">
        <f t="shared" si="118"/>
        <v>248</v>
      </c>
      <c r="H142" s="19">
        <f t="shared" si="118"/>
        <v>173.6</v>
      </c>
      <c r="I142" s="19">
        <f t="shared" si="118"/>
        <v>259.74</v>
      </c>
      <c r="J142" s="19">
        <f t="shared" si="118"/>
        <v>291.64500000000004</v>
      </c>
      <c r="K142" s="19">
        <f t="shared" si="118"/>
        <v>557.11974999999995</v>
      </c>
      <c r="L142" s="19">
        <f t="shared" si="118"/>
        <v>223.46499999999997</v>
      </c>
      <c r="M142" s="19">
        <f t="shared" si="118"/>
        <v>571</v>
      </c>
      <c r="N142" s="19">
        <f t="shared" si="118"/>
        <v>181</v>
      </c>
      <c r="O142" s="19">
        <f t="shared" si="118"/>
        <v>119.25</v>
      </c>
    </row>
    <row r="143" spans="1:15">
      <c r="A143" s="2" t="s">
        <v>94</v>
      </c>
      <c r="B143" s="18" t="s">
        <v>95</v>
      </c>
      <c r="C143" s="13">
        <f>+C139*C142/1000</f>
        <v>2033737.2</v>
      </c>
      <c r="D143" s="13">
        <f t="shared" ref="D143:O143" si="119">+D139*D142/1000</f>
        <v>2642962.5</v>
      </c>
      <c r="E143" s="13">
        <f t="shared" si="119"/>
        <v>2542800</v>
      </c>
      <c r="F143" s="13">
        <f t="shared" si="119"/>
        <v>1282385.2250000001</v>
      </c>
      <c r="G143" s="13">
        <f t="shared" si="119"/>
        <v>2777600</v>
      </c>
      <c r="H143" s="13">
        <f t="shared" si="119"/>
        <v>729120</v>
      </c>
      <c r="I143" s="13">
        <f t="shared" si="119"/>
        <v>1116882</v>
      </c>
      <c r="J143" s="13">
        <f t="shared" si="119"/>
        <v>583290.00000000012</v>
      </c>
      <c r="K143" s="13">
        <f t="shared" si="119"/>
        <v>2562750.85</v>
      </c>
      <c r="L143" s="13">
        <f t="shared" si="119"/>
        <v>782127.49999999988</v>
      </c>
      <c r="M143" s="13">
        <f t="shared" si="119"/>
        <v>456800</v>
      </c>
      <c r="N143" s="13">
        <f t="shared" si="119"/>
        <v>362000</v>
      </c>
      <c r="O143" s="13">
        <f t="shared" si="119"/>
        <v>333900</v>
      </c>
    </row>
    <row r="144" spans="1:15">
      <c r="A144" s="21" t="s">
        <v>96</v>
      </c>
      <c r="B144" s="18" t="s">
        <v>92</v>
      </c>
      <c r="C144" s="53">
        <f>+C101</f>
        <v>80</v>
      </c>
      <c r="D144" s="53">
        <f t="shared" ref="D144:O144" si="120">+D101</f>
        <v>80</v>
      </c>
      <c r="E144" s="53">
        <f t="shared" si="120"/>
        <v>80</v>
      </c>
      <c r="F144" s="53">
        <f t="shared" si="120"/>
        <v>80</v>
      </c>
      <c r="G144" s="53">
        <f t="shared" si="120"/>
        <v>80</v>
      </c>
      <c r="H144" s="53">
        <f t="shared" si="120"/>
        <v>80</v>
      </c>
      <c r="I144" s="53">
        <f t="shared" si="120"/>
        <v>80</v>
      </c>
      <c r="J144" s="53">
        <f t="shared" si="120"/>
        <v>80</v>
      </c>
      <c r="K144" s="53">
        <f t="shared" si="120"/>
        <v>80</v>
      </c>
      <c r="L144" s="53">
        <f t="shared" si="120"/>
        <v>80</v>
      </c>
      <c r="M144" s="53">
        <f t="shared" si="120"/>
        <v>80</v>
      </c>
      <c r="N144" s="53">
        <f t="shared" si="120"/>
        <v>80</v>
      </c>
      <c r="O144" s="53">
        <f t="shared" si="120"/>
        <v>80</v>
      </c>
    </row>
    <row r="145" spans="1:15">
      <c r="A145" s="15" t="s">
        <v>97</v>
      </c>
      <c r="B145" s="16" t="s">
        <v>92</v>
      </c>
      <c r="C145" s="41">
        <f>+C102</f>
        <v>90</v>
      </c>
      <c r="D145" s="41">
        <f t="shared" ref="D145:O145" si="121">+D102</f>
        <v>90</v>
      </c>
      <c r="E145" s="41">
        <f t="shared" si="121"/>
        <v>90</v>
      </c>
      <c r="F145" s="41">
        <f t="shared" si="121"/>
        <v>90</v>
      </c>
      <c r="G145" s="41">
        <f t="shared" si="121"/>
        <v>90</v>
      </c>
      <c r="H145" s="41">
        <f t="shared" si="121"/>
        <v>90</v>
      </c>
      <c r="I145" s="41">
        <f t="shared" si="121"/>
        <v>90</v>
      </c>
      <c r="J145" s="41">
        <f t="shared" si="121"/>
        <v>90</v>
      </c>
      <c r="K145" s="41">
        <f t="shared" si="121"/>
        <v>90</v>
      </c>
      <c r="L145" s="41">
        <f t="shared" si="121"/>
        <v>90</v>
      </c>
      <c r="M145" s="41">
        <f t="shared" si="121"/>
        <v>90</v>
      </c>
      <c r="N145" s="41">
        <f t="shared" si="121"/>
        <v>90</v>
      </c>
      <c r="O145" s="41">
        <f t="shared" si="121"/>
        <v>90</v>
      </c>
    </row>
    <row r="146" spans="1:15" ht="15.75">
      <c r="A146" s="10" t="s">
        <v>98</v>
      </c>
      <c r="B146" s="11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</row>
    <row r="147" spans="1:15">
      <c r="A147" s="2" t="s">
        <v>29</v>
      </c>
      <c r="B147" s="11" t="s">
        <v>30</v>
      </c>
      <c r="C147" s="2">
        <f t="shared" ref="C147:C152" si="122">+C104</f>
        <v>3</v>
      </c>
      <c r="D147" s="2">
        <f t="shared" ref="D147:H147" si="123">+D104</f>
        <v>3</v>
      </c>
      <c r="E147" s="2">
        <f t="shared" si="123"/>
        <v>4</v>
      </c>
      <c r="F147" s="2">
        <f t="shared" si="123"/>
        <v>2</v>
      </c>
      <c r="G147" s="2">
        <f t="shared" si="123"/>
        <v>4</v>
      </c>
      <c r="H147" s="2">
        <f t="shared" si="123"/>
        <v>4</v>
      </c>
      <c r="I147" s="2">
        <f t="shared" ref="I147:O147" si="124">+I104</f>
        <v>3</v>
      </c>
      <c r="J147" s="2">
        <f t="shared" si="124"/>
        <v>3</v>
      </c>
      <c r="K147" s="2">
        <f t="shared" si="124"/>
        <v>3</v>
      </c>
      <c r="L147" s="2">
        <f t="shared" si="124"/>
        <v>3</v>
      </c>
      <c r="M147" s="2">
        <f t="shared" si="124"/>
        <v>2</v>
      </c>
      <c r="N147" s="2">
        <f t="shared" si="124"/>
        <v>3</v>
      </c>
      <c r="O147" s="2">
        <f t="shared" si="124"/>
        <v>4</v>
      </c>
    </row>
    <row r="148" spans="1:15">
      <c r="A148" s="2" t="s">
        <v>31</v>
      </c>
      <c r="B148" s="11" t="s">
        <v>32</v>
      </c>
      <c r="C148" s="2">
        <f t="shared" si="122"/>
        <v>90</v>
      </c>
      <c r="D148" s="2">
        <f t="shared" ref="D148:H148" si="125">+D105</f>
        <v>90</v>
      </c>
      <c r="E148" s="2">
        <f t="shared" si="125"/>
        <v>90</v>
      </c>
      <c r="F148" s="2">
        <f t="shared" si="125"/>
        <v>42</v>
      </c>
      <c r="G148" s="2">
        <f t="shared" si="125"/>
        <v>90</v>
      </c>
      <c r="H148" s="2">
        <f t="shared" si="125"/>
        <v>90</v>
      </c>
      <c r="I148" s="2">
        <f t="shared" ref="I148:O148" si="126">+I105</f>
        <v>90</v>
      </c>
      <c r="J148" s="2">
        <f t="shared" si="126"/>
        <v>90</v>
      </c>
      <c r="K148" s="2">
        <f t="shared" si="126"/>
        <v>55</v>
      </c>
      <c r="L148" s="2">
        <f t="shared" si="126"/>
        <v>55</v>
      </c>
      <c r="M148" s="2">
        <f t="shared" si="126"/>
        <v>12</v>
      </c>
      <c r="N148" s="2">
        <f t="shared" si="126"/>
        <v>24</v>
      </c>
      <c r="O148" s="2">
        <f t="shared" si="126"/>
        <v>36</v>
      </c>
    </row>
    <row r="149" spans="1:15">
      <c r="A149" s="2" t="s">
        <v>99</v>
      </c>
      <c r="B149" s="11" t="s">
        <v>34</v>
      </c>
      <c r="C149" s="13">
        <f t="shared" si="122"/>
        <v>5265</v>
      </c>
      <c r="D149" s="13">
        <f t="shared" ref="D149:H149" si="127">+D106</f>
        <v>5265</v>
      </c>
      <c r="E149" s="13">
        <f t="shared" si="127"/>
        <v>5265</v>
      </c>
      <c r="F149" s="13">
        <f t="shared" si="127"/>
        <v>2457</v>
      </c>
      <c r="G149" s="13">
        <f t="shared" si="127"/>
        <v>5265</v>
      </c>
      <c r="H149" s="13">
        <f t="shared" si="127"/>
        <v>5265</v>
      </c>
      <c r="I149" s="13">
        <f t="shared" ref="I149:O149" si="128">+I106</f>
        <v>5265</v>
      </c>
      <c r="J149" s="13">
        <f t="shared" si="128"/>
        <v>5265</v>
      </c>
      <c r="K149" s="13">
        <f t="shared" si="128"/>
        <v>3217.5</v>
      </c>
      <c r="L149" s="13">
        <f t="shared" si="128"/>
        <v>3217.5</v>
      </c>
      <c r="M149" s="13">
        <f t="shared" si="128"/>
        <v>702</v>
      </c>
      <c r="N149" s="13">
        <f t="shared" si="128"/>
        <v>1404</v>
      </c>
      <c r="O149" s="13">
        <f t="shared" si="128"/>
        <v>2106</v>
      </c>
    </row>
    <row r="150" spans="1:15">
      <c r="A150" s="2" t="s">
        <v>37</v>
      </c>
      <c r="B150" s="11" t="s">
        <v>38</v>
      </c>
      <c r="C150" s="19">
        <f t="shared" si="122"/>
        <v>572600.34</v>
      </c>
      <c r="D150" s="19">
        <f t="shared" ref="D150:H150" si="129">+D107</f>
        <v>556607.90250000008</v>
      </c>
      <c r="E150" s="19">
        <f t="shared" si="129"/>
        <v>1115653.5</v>
      </c>
      <c r="F150" s="19">
        <f t="shared" si="129"/>
        <v>572876.45415000001</v>
      </c>
      <c r="G150" s="19">
        <f t="shared" si="129"/>
        <v>1305720</v>
      </c>
      <c r="H150" s="19">
        <f t="shared" si="129"/>
        <v>914004</v>
      </c>
      <c r="I150" s="19">
        <f t="shared" ref="I150:O150" si="130">+I107</f>
        <v>1367531.1</v>
      </c>
      <c r="J150" s="19">
        <f t="shared" si="130"/>
        <v>1535510.9250000005</v>
      </c>
      <c r="K150" s="19">
        <f t="shared" si="130"/>
        <v>1792532.7956249998</v>
      </c>
      <c r="L150" s="19">
        <f t="shared" si="130"/>
        <v>718998.63749999995</v>
      </c>
      <c r="M150" s="19">
        <f t="shared" si="130"/>
        <v>400842</v>
      </c>
      <c r="N150" s="19">
        <f t="shared" si="130"/>
        <v>254124</v>
      </c>
      <c r="O150" s="19">
        <f t="shared" si="130"/>
        <v>251140.5</v>
      </c>
    </row>
    <row r="151" spans="1:15">
      <c r="A151" s="2" t="s">
        <v>35</v>
      </c>
      <c r="B151" s="11" t="s">
        <v>36</v>
      </c>
      <c r="C151" s="13">
        <f t="shared" si="122"/>
        <v>7065</v>
      </c>
      <c r="D151" s="13">
        <f t="shared" ref="D151:H151" si="131">+D108</f>
        <v>7065</v>
      </c>
      <c r="E151" s="13">
        <f t="shared" si="131"/>
        <v>7065</v>
      </c>
      <c r="F151" s="13">
        <f t="shared" si="131"/>
        <v>3297</v>
      </c>
      <c r="G151" s="13">
        <f t="shared" si="131"/>
        <v>7065</v>
      </c>
      <c r="H151" s="13">
        <f t="shared" si="131"/>
        <v>7065</v>
      </c>
      <c r="I151" s="13">
        <f t="shared" ref="I151:O151" si="132">+I108</f>
        <v>7065</v>
      </c>
      <c r="J151" s="13">
        <f t="shared" si="132"/>
        <v>7065</v>
      </c>
      <c r="K151" s="13">
        <f t="shared" si="132"/>
        <v>4317.5</v>
      </c>
      <c r="L151" s="13">
        <f t="shared" si="132"/>
        <v>4317.5</v>
      </c>
      <c r="M151" s="13">
        <f t="shared" si="132"/>
        <v>942</v>
      </c>
      <c r="N151" s="13">
        <f t="shared" si="132"/>
        <v>1884</v>
      </c>
      <c r="O151" s="13">
        <f t="shared" si="132"/>
        <v>2826</v>
      </c>
    </row>
    <row r="152" spans="1:15">
      <c r="A152" s="2" t="s">
        <v>100</v>
      </c>
      <c r="B152" s="11" t="s">
        <v>40</v>
      </c>
      <c r="C152" s="19">
        <f t="shared" si="122"/>
        <v>1515</v>
      </c>
      <c r="D152" s="19">
        <f t="shared" ref="D152:H152" si="133">+D109</f>
        <v>1515</v>
      </c>
      <c r="E152" s="19">
        <f t="shared" si="133"/>
        <v>1540</v>
      </c>
      <c r="F152" s="19">
        <f t="shared" si="133"/>
        <v>722</v>
      </c>
      <c r="G152" s="19">
        <f t="shared" si="133"/>
        <v>1540</v>
      </c>
      <c r="H152" s="19">
        <f t="shared" si="133"/>
        <v>1540</v>
      </c>
      <c r="I152" s="19">
        <f t="shared" ref="I152:O152" si="134">+I109</f>
        <v>1515</v>
      </c>
      <c r="J152" s="19">
        <f t="shared" si="134"/>
        <v>1515</v>
      </c>
      <c r="K152" s="19">
        <f t="shared" si="134"/>
        <v>955</v>
      </c>
      <c r="L152" s="19">
        <f t="shared" si="134"/>
        <v>955</v>
      </c>
      <c r="M152" s="19">
        <f t="shared" si="134"/>
        <v>232</v>
      </c>
      <c r="N152" s="19">
        <f t="shared" si="134"/>
        <v>444</v>
      </c>
      <c r="O152" s="19">
        <f t="shared" si="134"/>
        <v>656</v>
      </c>
    </row>
    <row r="153" spans="1:15">
      <c r="A153" s="2" t="s">
        <v>101</v>
      </c>
      <c r="B153" s="11" t="s">
        <v>40</v>
      </c>
      <c r="C153" s="19">
        <f>+C152+Premissas!C97*2+Premissas!C98</f>
        <v>1726.34</v>
      </c>
      <c r="D153" s="19">
        <f>+D152+Premissas!D97*2+Premissas!D98</f>
        <v>1726.34</v>
      </c>
      <c r="E153" s="19">
        <f>+E152+Premissas!E97*2+Premissas!E98</f>
        <v>1751.34</v>
      </c>
      <c r="F153" s="19">
        <f>+F152+Premissas!F97*2+Premissas!F98</f>
        <v>933.34</v>
      </c>
      <c r="G153" s="19">
        <f>+G152+Premissas!G97*2+Premissas!G98</f>
        <v>1751.34</v>
      </c>
      <c r="H153" s="19">
        <f>+H152+Premissas!H97*2+Premissas!H98</f>
        <v>1751.34</v>
      </c>
      <c r="I153" s="19">
        <f>+I152+Premissas!I97*2+Premissas!I98</f>
        <v>1726.34</v>
      </c>
      <c r="J153" s="19">
        <f>+J152+Premissas!J97*2+Premissas!J98</f>
        <v>1726.34</v>
      </c>
      <c r="K153" s="19">
        <f>+K152+Premissas!K97*2+Premissas!K98</f>
        <v>1166.3399999999999</v>
      </c>
      <c r="L153" s="19">
        <f>+L152+Premissas!L97*2+Premissas!L98</f>
        <v>1166.3399999999999</v>
      </c>
      <c r="M153" s="19">
        <f>+M152+Premissas!M97*2+Premissas!M98</f>
        <v>443.34000000000003</v>
      </c>
      <c r="N153" s="19">
        <f>+N152+Premissas!N97*2+Premissas!N98</f>
        <v>655.34</v>
      </c>
      <c r="O153" s="19">
        <f>+O152+Premissas!O97*2+Premissas!O98</f>
        <v>867.34</v>
      </c>
    </row>
    <row r="154" spans="1:15">
      <c r="A154" s="2" t="s">
        <v>102</v>
      </c>
      <c r="B154" s="11" t="s">
        <v>103</v>
      </c>
      <c r="C154" s="19">
        <f>+C139/C149</f>
        <v>3551.7568850902185</v>
      </c>
      <c r="D154" s="19">
        <f t="shared" ref="D154:H154" si="135">+D139/D149</f>
        <v>4748.3380816714152</v>
      </c>
      <c r="E154" s="19">
        <f t="shared" si="135"/>
        <v>2279.202279202279</v>
      </c>
      <c r="F154" s="19">
        <f t="shared" si="135"/>
        <v>2238.5022385022385</v>
      </c>
      <c r="G154" s="19">
        <f t="shared" si="135"/>
        <v>2127.255460588794</v>
      </c>
      <c r="H154" s="19">
        <f t="shared" si="135"/>
        <v>797.72079772079769</v>
      </c>
      <c r="I154" s="19">
        <f t="shared" ref="I154:N154" si="136">+I139/I149</f>
        <v>816.71415004748337</v>
      </c>
      <c r="J154" s="19">
        <f t="shared" si="136"/>
        <v>379.86704653371322</v>
      </c>
      <c r="K154" s="19">
        <f t="shared" si="136"/>
        <v>1429.6814296814298</v>
      </c>
      <c r="L154" s="19">
        <f t="shared" si="136"/>
        <v>1087.8010878010878</v>
      </c>
      <c r="M154" s="19">
        <f t="shared" si="136"/>
        <v>1139.6011396011395</v>
      </c>
      <c r="N154" s="19">
        <f t="shared" si="136"/>
        <v>1424.5014245014245</v>
      </c>
      <c r="O154" s="19">
        <f>+O139/O149</f>
        <v>1329.5346628679963</v>
      </c>
    </row>
    <row r="155" spans="1:15">
      <c r="A155" s="2" t="s">
        <v>104</v>
      </c>
      <c r="B155" s="11" t="s">
        <v>105</v>
      </c>
      <c r="C155" s="13">
        <f>+C112</f>
        <v>330</v>
      </c>
      <c r="D155" s="13">
        <f t="shared" ref="D155:H155" si="137">+D112</f>
        <v>330</v>
      </c>
      <c r="E155" s="13">
        <f t="shared" si="137"/>
        <v>330</v>
      </c>
      <c r="F155" s="13">
        <f t="shared" si="137"/>
        <v>330</v>
      </c>
      <c r="G155" s="13">
        <f t="shared" si="137"/>
        <v>330</v>
      </c>
      <c r="H155" s="13">
        <f t="shared" si="137"/>
        <v>330</v>
      </c>
      <c r="I155" s="13">
        <f t="shared" ref="I155:N155" si="138">+I112</f>
        <v>330</v>
      </c>
      <c r="J155" s="13">
        <f t="shared" si="138"/>
        <v>330</v>
      </c>
      <c r="K155" s="13">
        <f t="shared" si="138"/>
        <v>330</v>
      </c>
      <c r="L155" s="13">
        <f t="shared" si="138"/>
        <v>330</v>
      </c>
      <c r="M155" s="13">
        <f t="shared" si="138"/>
        <v>300</v>
      </c>
      <c r="N155" s="13">
        <f t="shared" si="138"/>
        <v>330</v>
      </c>
      <c r="O155" s="13">
        <f>+O112</f>
        <v>330</v>
      </c>
    </row>
    <row r="156" spans="1:15">
      <c r="A156" s="2" t="s">
        <v>106</v>
      </c>
      <c r="B156" s="11" t="s">
        <v>107</v>
      </c>
      <c r="C156" s="42">
        <f>+C154/C155</f>
        <v>10.76289965178854</v>
      </c>
      <c r="D156" s="42">
        <f t="shared" ref="D156:H156" si="139">+D154/D155</f>
        <v>14.388903277792167</v>
      </c>
      <c r="E156" s="42">
        <f t="shared" si="139"/>
        <v>6.9066735733402398</v>
      </c>
      <c r="F156" s="42">
        <f t="shared" si="139"/>
        <v>6.7833401166734495</v>
      </c>
      <c r="G156" s="42">
        <f t="shared" si="139"/>
        <v>6.4462286684508907</v>
      </c>
      <c r="H156" s="42">
        <f t="shared" si="139"/>
        <v>2.4173357506690838</v>
      </c>
      <c r="I156" s="42">
        <f t="shared" ref="I156" si="140">+I154/I155</f>
        <v>2.4748913637802525</v>
      </c>
      <c r="J156" s="42">
        <f t="shared" ref="J156" si="141">+J154/J155</f>
        <v>1.1511122622233734</v>
      </c>
      <c r="K156" s="42">
        <f t="shared" ref="K156" si="142">+K154/K155</f>
        <v>4.3323679687316057</v>
      </c>
      <c r="L156" s="42">
        <f t="shared" ref="L156:M156" si="143">+L154/L155</f>
        <v>3.2963669327305691</v>
      </c>
      <c r="M156" s="42">
        <f t="shared" si="143"/>
        <v>3.7986704653371315</v>
      </c>
      <c r="N156" s="42">
        <f t="shared" ref="N156" si="144">+N154/N155</f>
        <v>4.3166709833376498</v>
      </c>
      <c r="O156" s="42">
        <f>+O154/O155</f>
        <v>4.0288929177818069</v>
      </c>
    </row>
    <row r="157" spans="1:15">
      <c r="A157" s="2" t="s">
        <v>108</v>
      </c>
      <c r="B157" s="11" t="s">
        <v>92</v>
      </c>
      <c r="C157" s="43">
        <f>+C114</f>
        <v>0.2</v>
      </c>
      <c r="D157" s="43">
        <f t="shared" ref="D157:H157" si="145">+D114</f>
        <v>0.2</v>
      </c>
      <c r="E157" s="43">
        <f t="shared" si="145"/>
        <v>0.2</v>
      </c>
      <c r="F157" s="43">
        <f t="shared" si="145"/>
        <v>0.2</v>
      </c>
      <c r="G157" s="43">
        <f t="shared" si="145"/>
        <v>0.2</v>
      </c>
      <c r="H157" s="43">
        <f t="shared" si="145"/>
        <v>0.2</v>
      </c>
      <c r="I157" s="43">
        <f t="shared" ref="I157:N157" si="146">+I114</f>
        <v>0.2</v>
      </c>
      <c r="J157" s="43">
        <f t="shared" si="146"/>
        <v>0.2</v>
      </c>
      <c r="K157" s="43">
        <f t="shared" si="146"/>
        <v>0.2</v>
      </c>
      <c r="L157" s="43">
        <f t="shared" si="146"/>
        <v>0.2</v>
      </c>
      <c r="M157" s="43">
        <f t="shared" si="146"/>
        <v>0.1</v>
      </c>
      <c r="N157" s="43">
        <f t="shared" si="146"/>
        <v>0.1</v>
      </c>
      <c r="O157" s="43">
        <f>+O114</f>
        <v>0.1</v>
      </c>
    </row>
    <row r="158" spans="1:15">
      <c r="A158" s="2" t="s">
        <v>109</v>
      </c>
      <c r="B158" s="11" t="s">
        <v>107</v>
      </c>
      <c r="C158" s="42">
        <f>+C156+C156*C157</f>
        <v>12.915479582146249</v>
      </c>
      <c r="D158" s="42">
        <f t="shared" ref="D158:H158" si="147">+D156+D156*D157</f>
        <v>17.266683933350599</v>
      </c>
      <c r="E158" s="42">
        <f t="shared" si="147"/>
        <v>8.2880082880082888</v>
      </c>
      <c r="F158" s="42">
        <f t="shared" si="147"/>
        <v>8.1400081400081401</v>
      </c>
      <c r="G158" s="42">
        <f t="shared" si="147"/>
        <v>7.7354744021410689</v>
      </c>
      <c r="H158" s="42">
        <f t="shared" si="147"/>
        <v>2.9008029008029004</v>
      </c>
      <c r="I158" s="42">
        <f t="shared" ref="I158" si="148">+I156+I156*I157</f>
        <v>2.9698696365363029</v>
      </c>
      <c r="J158" s="42">
        <f t="shared" ref="J158" si="149">+J156+J156*J157</f>
        <v>1.3813347146680481</v>
      </c>
      <c r="K158" s="42">
        <f t="shared" ref="K158" si="150">+K156+K156*K157</f>
        <v>5.1988415624779272</v>
      </c>
      <c r="L158" s="42">
        <f t="shared" ref="L158:M158" si="151">+L156+L156*L157</f>
        <v>3.9556403192766831</v>
      </c>
      <c r="M158" s="42">
        <f t="shared" si="151"/>
        <v>4.1785375118708448</v>
      </c>
      <c r="N158" s="42">
        <f t="shared" ref="N158" si="152">+N156+N156*N157</f>
        <v>4.7483380816714149</v>
      </c>
      <c r="O158" s="42">
        <f>+O156+O156*O157</f>
        <v>4.4317822095599873</v>
      </c>
    </row>
    <row r="159" spans="1:15">
      <c r="A159" s="2" t="s">
        <v>110</v>
      </c>
      <c r="B159" s="11" t="s">
        <v>111</v>
      </c>
      <c r="C159" s="42">
        <f>+C116</f>
        <v>60</v>
      </c>
      <c r="D159" s="42">
        <f t="shared" ref="D159:H159" si="153">+D116</f>
        <v>60</v>
      </c>
      <c r="E159" s="42">
        <f t="shared" si="153"/>
        <v>60</v>
      </c>
      <c r="F159" s="42">
        <f t="shared" si="153"/>
        <v>60</v>
      </c>
      <c r="G159" s="42">
        <f t="shared" si="153"/>
        <v>60</v>
      </c>
      <c r="H159" s="42">
        <f t="shared" si="153"/>
        <v>60</v>
      </c>
      <c r="I159" s="42">
        <f t="shared" ref="I159:N159" si="154">+I116</f>
        <v>60</v>
      </c>
      <c r="J159" s="42">
        <f t="shared" si="154"/>
        <v>60</v>
      </c>
      <c r="K159" s="42">
        <f t="shared" si="154"/>
        <v>60</v>
      </c>
      <c r="L159" s="42">
        <f t="shared" si="154"/>
        <v>60</v>
      </c>
      <c r="M159" s="42">
        <f t="shared" si="154"/>
        <v>60</v>
      </c>
      <c r="N159" s="42">
        <f t="shared" si="154"/>
        <v>60</v>
      </c>
      <c r="O159" s="42">
        <f>+O116</f>
        <v>60</v>
      </c>
    </row>
    <row r="160" spans="1:15">
      <c r="A160" s="2" t="s">
        <v>112</v>
      </c>
      <c r="B160" s="11" t="s">
        <v>111</v>
      </c>
      <c r="C160" s="42">
        <f>+C149/C148</f>
        <v>58.5</v>
      </c>
      <c r="D160" s="42">
        <f t="shared" ref="D160:H160" si="155">+D149/D148</f>
        <v>58.5</v>
      </c>
      <c r="E160" s="42">
        <f t="shared" si="155"/>
        <v>58.5</v>
      </c>
      <c r="F160" s="42">
        <f t="shared" si="155"/>
        <v>58.5</v>
      </c>
      <c r="G160" s="42">
        <f t="shared" si="155"/>
        <v>58.5</v>
      </c>
      <c r="H160" s="42">
        <f t="shared" si="155"/>
        <v>58.5</v>
      </c>
      <c r="I160" s="42">
        <f t="shared" ref="I160:N160" si="156">+I149/I148</f>
        <v>58.5</v>
      </c>
      <c r="J160" s="42">
        <f t="shared" si="156"/>
        <v>58.5</v>
      </c>
      <c r="K160" s="42">
        <f t="shared" si="156"/>
        <v>58.5</v>
      </c>
      <c r="L160" s="42">
        <f t="shared" si="156"/>
        <v>58.5</v>
      </c>
      <c r="M160" s="42">
        <f t="shared" si="156"/>
        <v>58.5</v>
      </c>
      <c r="N160" s="42">
        <f t="shared" si="156"/>
        <v>58.5</v>
      </c>
      <c r="O160" s="42">
        <f>+O149/O148</f>
        <v>58.5</v>
      </c>
    </row>
    <row r="161" spans="1:15">
      <c r="A161" s="2" t="s">
        <v>113</v>
      </c>
      <c r="B161" s="11" t="s">
        <v>111</v>
      </c>
      <c r="C161" s="42">
        <f>+C118</f>
        <v>20</v>
      </c>
      <c r="D161" s="42">
        <f t="shared" ref="D161:H161" si="157">+D118</f>
        <v>20</v>
      </c>
      <c r="E161" s="42">
        <f t="shared" si="157"/>
        <v>20</v>
      </c>
      <c r="F161" s="42">
        <f t="shared" si="157"/>
        <v>20</v>
      </c>
      <c r="G161" s="42">
        <f t="shared" si="157"/>
        <v>20</v>
      </c>
      <c r="H161" s="42">
        <f t="shared" si="157"/>
        <v>20</v>
      </c>
      <c r="I161" s="42">
        <f t="shared" ref="I161:N161" si="158">+I118</f>
        <v>20</v>
      </c>
      <c r="J161" s="42">
        <f t="shared" si="158"/>
        <v>20</v>
      </c>
      <c r="K161" s="42">
        <f t="shared" si="158"/>
        <v>20</v>
      </c>
      <c r="L161" s="42">
        <f t="shared" si="158"/>
        <v>20</v>
      </c>
      <c r="M161" s="42">
        <f t="shared" si="158"/>
        <v>20</v>
      </c>
      <c r="N161" s="42">
        <f t="shared" si="158"/>
        <v>20</v>
      </c>
      <c r="O161" s="42">
        <f>+O118</f>
        <v>20</v>
      </c>
    </row>
    <row r="162" spans="1:15">
      <c r="A162" s="2" t="s">
        <v>114</v>
      </c>
      <c r="B162" s="11" t="s">
        <v>111</v>
      </c>
      <c r="C162" s="42">
        <f>+C161+C159</f>
        <v>80</v>
      </c>
      <c r="D162" s="42">
        <f t="shared" ref="D162:H162" si="159">+D161+D159</f>
        <v>80</v>
      </c>
      <c r="E162" s="42">
        <f t="shared" si="159"/>
        <v>80</v>
      </c>
      <c r="F162" s="42">
        <f t="shared" si="159"/>
        <v>80</v>
      </c>
      <c r="G162" s="42">
        <f t="shared" si="159"/>
        <v>80</v>
      </c>
      <c r="H162" s="42">
        <f t="shared" si="159"/>
        <v>80</v>
      </c>
      <c r="I162" s="42">
        <f t="shared" ref="I162" si="160">+I161+I159</f>
        <v>80</v>
      </c>
      <c r="J162" s="42">
        <f t="shared" ref="J162" si="161">+J161+J159</f>
        <v>80</v>
      </c>
      <c r="K162" s="42">
        <f t="shared" ref="K162" si="162">+K161+K159</f>
        <v>80</v>
      </c>
      <c r="L162" s="42">
        <f t="shared" ref="L162:M162" si="163">+L161+L159</f>
        <v>80</v>
      </c>
      <c r="M162" s="42">
        <f t="shared" si="163"/>
        <v>80</v>
      </c>
      <c r="N162" s="42">
        <f t="shared" ref="N162" si="164">+N161+N159</f>
        <v>80</v>
      </c>
      <c r="O162" s="42">
        <f>+O161+O159</f>
        <v>80</v>
      </c>
    </row>
    <row r="163" spans="1:15">
      <c r="A163" s="2" t="s">
        <v>115</v>
      </c>
      <c r="B163" s="11" t="s">
        <v>111</v>
      </c>
      <c r="C163" s="42">
        <f>+C161+C160</f>
        <v>78.5</v>
      </c>
      <c r="D163" s="42">
        <f t="shared" ref="D163:H163" si="165">+D161+D160</f>
        <v>78.5</v>
      </c>
      <c r="E163" s="42">
        <f t="shared" si="165"/>
        <v>78.5</v>
      </c>
      <c r="F163" s="42">
        <f t="shared" si="165"/>
        <v>78.5</v>
      </c>
      <c r="G163" s="42">
        <f t="shared" si="165"/>
        <v>78.5</v>
      </c>
      <c r="H163" s="42">
        <f t="shared" si="165"/>
        <v>78.5</v>
      </c>
      <c r="I163" s="42">
        <f t="shared" ref="I163:N163" si="166">+I161+I160</f>
        <v>78.5</v>
      </c>
      <c r="J163" s="42">
        <f t="shared" si="166"/>
        <v>78.5</v>
      </c>
      <c r="K163" s="42">
        <f t="shared" si="166"/>
        <v>78.5</v>
      </c>
      <c r="L163" s="42">
        <f t="shared" si="166"/>
        <v>78.5</v>
      </c>
      <c r="M163" s="42">
        <f t="shared" si="166"/>
        <v>78.5</v>
      </c>
      <c r="N163" s="42">
        <f t="shared" si="166"/>
        <v>78.5</v>
      </c>
      <c r="O163" s="42">
        <f>+O161+O160</f>
        <v>78.5</v>
      </c>
    </row>
    <row r="164" spans="1:15">
      <c r="A164" s="15" t="s">
        <v>116</v>
      </c>
      <c r="B164" s="16" t="s">
        <v>55</v>
      </c>
      <c r="C164" s="23">
        <f>+'Trens Tipos e Ciclos'!C74</f>
        <v>0.95902150537634401</v>
      </c>
      <c r="D164" s="23">
        <f>+'Trens Tipos e Ciclos'!D74</f>
        <v>0.32585618279569895</v>
      </c>
      <c r="E164" s="23">
        <f>+'Trens Tipos e Ciclos'!E74</f>
        <v>0.81962365591397857</v>
      </c>
      <c r="F164" s="23">
        <f>+'Trens Tipos e Ciclos'!F74</f>
        <v>1.2934434139784945</v>
      </c>
      <c r="G164" s="23">
        <f>+'Trens Tipos e Ciclos'!G74</f>
        <v>0.79166666666666663</v>
      </c>
      <c r="H164" s="23">
        <f>+'Trens Tipos e Ciclos'!H74</f>
        <v>1.1333333333333333</v>
      </c>
      <c r="I164" s="23">
        <f>+'Trens Tipos e Ciclos'!I74</f>
        <v>1.8648924731182797</v>
      </c>
      <c r="J164" s="23">
        <f>+'Trens Tipos e Ciclos'!J74</f>
        <v>1.9506586021505379</v>
      </c>
      <c r="K164" s="23">
        <f>+'Trens Tipos e Ciclos'!K74</f>
        <v>2.4976337365591395</v>
      </c>
      <c r="L164" s="23">
        <f>+'Trens Tipos e Ciclos'!L74</f>
        <v>1.2673790322580645</v>
      </c>
      <c r="M164" s="23">
        <f>+'Trens Tipos e Ciclos'!M74</f>
        <v>2.03494623655914</v>
      </c>
      <c r="N164" s="23">
        <f>+'Trens Tipos e Ciclos'!N74</f>
        <v>0.91346153846153855</v>
      </c>
      <c r="O164" s="23">
        <f>+'Trens Tipos e Ciclos'!O74</f>
        <v>1.0488782051282051</v>
      </c>
    </row>
    <row r="165" spans="1:15" ht="15.75">
      <c r="A165" s="10" t="s">
        <v>117</v>
      </c>
      <c r="B165" s="11"/>
      <c r="C165" s="45"/>
      <c r="D165" s="45"/>
      <c r="E165" s="45"/>
      <c r="F165" s="45"/>
      <c r="G165" s="45"/>
      <c r="H165" s="45"/>
      <c r="I165" s="45"/>
      <c r="J165" s="45"/>
      <c r="K165" s="45"/>
      <c r="L165" s="45"/>
      <c r="M165" s="45"/>
      <c r="N165" s="45"/>
      <c r="O165" s="45"/>
    </row>
    <row r="166" spans="1:15">
      <c r="A166" s="2" t="s">
        <v>118</v>
      </c>
      <c r="B166" s="11" t="s">
        <v>119</v>
      </c>
      <c r="C166" s="45">
        <f>ROUNDUP(C158*C164*C147/(C144/100),0)</f>
        <v>47</v>
      </c>
      <c r="D166" s="45">
        <f t="shared" ref="D166:H166" si="167">ROUNDUP(D158*D164*D147/(D144/100),0)</f>
        <v>22</v>
      </c>
      <c r="E166" s="45">
        <f t="shared" si="167"/>
        <v>34</v>
      </c>
      <c r="F166" s="45">
        <f t="shared" si="167"/>
        <v>27</v>
      </c>
      <c r="G166" s="45">
        <f t="shared" si="167"/>
        <v>31</v>
      </c>
      <c r="H166" s="45">
        <f t="shared" si="167"/>
        <v>17</v>
      </c>
      <c r="I166" s="45">
        <f t="shared" ref="I166:N166" si="168">ROUNDUP(I158*I164*I147/(I144/100),0)</f>
        <v>21</v>
      </c>
      <c r="J166" s="45">
        <f t="shared" si="168"/>
        <v>11</v>
      </c>
      <c r="K166" s="45">
        <f t="shared" si="168"/>
        <v>49</v>
      </c>
      <c r="L166" s="45">
        <f t="shared" si="168"/>
        <v>19</v>
      </c>
      <c r="M166" s="45">
        <f t="shared" si="168"/>
        <v>22</v>
      </c>
      <c r="N166" s="45">
        <f t="shared" si="168"/>
        <v>17</v>
      </c>
      <c r="O166" s="45">
        <f>ROUNDUP(O158*O164*O147/(O144/100),0)</f>
        <v>24</v>
      </c>
    </row>
    <row r="167" spans="1:15">
      <c r="A167" s="15" t="s">
        <v>120</v>
      </c>
      <c r="B167" s="16" t="s">
        <v>119</v>
      </c>
      <c r="C167" s="15">
        <f>+Premissas!C52</f>
        <v>6</v>
      </c>
      <c r="D167" s="15">
        <f>+Premissas!D52</f>
        <v>3</v>
      </c>
      <c r="E167" s="15">
        <f>+Premissas!E52</f>
        <v>3</v>
      </c>
      <c r="F167" s="15">
        <f>+Premissas!F52</f>
        <v>3</v>
      </c>
      <c r="G167" s="15">
        <f>+Premissas!G52</f>
        <v>2</v>
      </c>
      <c r="H167" s="15">
        <f>+Premissas!H52</f>
        <v>1</v>
      </c>
      <c r="I167" s="15">
        <f>+Premissas!I52</f>
        <v>2</v>
      </c>
      <c r="J167" s="15">
        <f>+Premissas!J52</f>
        <v>1</v>
      </c>
      <c r="K167" s="15">
        <f>+Premissas!K52</f>
        <v>2</v>
      </c>
      <c r="L167" s="15">
        <f>+Premissas!L52</f>
        <v>1</v>
      </c>
      <c r="M167" s="15">
        <f>+Premissas!M52</f>
        <v>1</v>
      </c>
      <c r="N167" s="15">
        <f>+Premissas!N52</f>
        <v>2</v>
      </c>
      <c r="O167" s="15">
        <f>+Premissas!O52</f>
        <v>3</v>
      </c>
    </row>
    <row r="168" spans="1:15" ht="15.75">
      <c r="A168" s="46" t="s">
        <v>121</v>
      </c>
      <c r="B168" s="47" t="s">
        <v>119</v>
      </c>
      <c r="C168" s="46">
        <f>+ROUNDUP((C166+C167),0)</f>
        <v>53</v>
      </c>
      <c r="D168" s="46">
        <f>+ROUNDUP((D166+D167),0)</f>
        <v>25</v>
      </c>
      <c r="E168" s="46">
        <f t="shared" ref="E168:O168" si="169">+ROUNDUP((E166+E167),0)</f>
        <v>37</v>
      </c>
      <c r="F168" s="46">
        <f t="shared" si="169"/>
        <v>30</v>
      </c>
      <c r="G168" s="46">
        <f t="shared" si="169"/>
        <v>33</v>
      </c>
      <c r="H168" s="46">
        <f t="shared" si="169"/>
        <v>18</v>
      </c>
      <c r="I168" s="46">
        <f t="shared" si="169"/>
        <v>23</v>
      </c>
      <c r="J168" s="46">
        <f t="shared" si="169"/>
        <v>12</v>
      </c>
      <c r="K168" s="46">
        <f t="shared" si="169"/>
        <v>51</v>
      </c>
      <c r="L168" s="46">
        <f>+ROUNDUP((L166+L167),0)</f>
        <v>20</v>
      </c>
      <c r="M168" s="46">
        <f t="shared" si="169"/>
        <v>23</v>
      </c>
      <c r="N168" s="46">
        <f t="shared" si="169"/>
        <v>19</v>
      </c>
      <c r="O168" s="46">
        <f t="shared" si="169"/>
        <v>27</v>
      </c>
    </row>
    <row r="169" spans="1:15" ht="15.75">
      <c r="A169" s="48" t="s">
        <v>122</v>
      </c>
      <c r="B169" s="25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</row>
    <row r="170" spans="1:15" ht="16.5" thickBot="1">
      <c r="A170" s="4" t="s">
        <v>123</v>
      </c>
      <c r="B170" s="49" t="s">
        <v>124</v>
      </c>
      <c r="C170" s="55">
        <f>+ROUNDUP((C158*C148*C164/(C145/100)),0)</f>
        <v>1239</v>
      </c>
      <c r="D170" s="55">
        <f>+ROUNDUP((D158*D148*D164/(D145/100)),0)</f>
        <v>563</v>
      </c>
      <c r="E170" s="4">
        <f t="shared" ref="E170:O170" si="170">+ROUNDUP((E158*E148*E164/(E145/100)),0)</f>
        <v>680</v>
      </c>
      <c r="F170" s="4">
        <f t="shared" si="170"/>
        <v>492</v>
      </c>
      <c r="G170" s="4">
        <f t="shared" si="170"/>
        <v>613</v>
      </c>
      <c r="H170" s="4">
        <f t="shared" si="170"/>
        <v>329</v>
      </c>
      <c r="I170" s="4">
        <f t="shared" si="170"/>
        <v>554</v>
      </c>
      <c r="J170" s="4">
        <f t="shared" si="170"/>
        <v>270</v>
      </c>
      <c r="K170" s="4">
        <f t="shared" si="170"/>
        <v>794</v>
      </c>
      <c r="L170" s="4">
        <f>+ROUNDUP((L158*L148*L164/(L145/100)),0)</f>
        <v>307</v>
      </c>
      <c r="M170" s="4">
        <f t="shared" si="170"/>
        <v>114</v>
      </c>
      <c r="N170" s="4">
        <f t="shared" si="170"/>
        <v>116</v>
      </c>
      <c r="O170" s="4">
        <f t="shared" si="170"/>
        <v>186</v>
      </c>
    </row>
    <row r="171" spans="1:15">
      <c r="A171" s="54" t="s">
        <v>64</v>
      </c>
      <c r="B171" s="54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</row>
    <row r="173" spans="1:15"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52"/>
      <c r="N173" s="52"/>
      <c r="O173" s="52"/>
    </row>
    <row r="174" spans="1:15" ht="15.75">
      <c r="A174" s="1" t="s">
        <v>131</v>
      </c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</row>
    <row r="175" spans="1:15" ht="16.5" thickBot="1">
      <c r="A175" s="38" t="s">
        <v>132</v>
      </c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</row>
    <row r="176" spans="1:15" ht="15.75">
      <c r="A176" s="186" t="s">
        <v>1</v>
      </c>
      <c r="B176" s="186" t="s">
        <v>2</v>
      </c>
      <c r="C176" s="189" t="s">
        <v>3</v>
      </c>
      <c r="D176" s="189"/>
      <c r="E176" s="189"/>
      <c r="F176" s="189"/>
      <c r="G176" s="189"/>
      <c r="H176" s="189"/>
      <c r="I176" s="189"/>
      <c r="J176" s="189"/>
      <c r="K176" s="189"/>
      <c r="L176" s="189"/>
      <c r="M176" s="189"/>
      <c r="N176" s="189"/>
      <c r="O176" s="189"/>
    </row>
    <row r="177" spans="1:15" ht="15.75">
      <c r="A177" s="187"/>
      <c r="B177" s="187"/>
      <c r="C177" s="190" t="s">
        <v>4</v>
      </c>
      <c r="D177" s="190"/>
      <c r="E177" s="190"/>
      <c r="F177" s="190"/>
      <c r="G177" s="190"/>
      <c r="H177" s="35"/>
      <c r="I177" s="190" t="s">
        <v>5</v>
      </c>
      <c r="J177" s="190"/>
      <c r="K177" s="190" t="s">
        <v>6</v>
      </c>
      <c r="L177" s="190"/>
      <c r="M177" s="190"/>
      <c r="N177" s="190" t="s">
        <v>7</v>
      </c>
      <c r="O177" s="190"/>
    </row>
    <row r="178" spans="1:15" ht="15.75">
      <c r="A178" s="187"/>
      <c r="B178" s="187"/>
      <c r="C178" s="191" t="s">
        <v>8</v>
      </c>
      <c r="D178" s="191"/>
      <c r="E178" s="191"/>
      <c r="F178" s="191"/>
      <c r="G178" s="190" t="s">
        <v>9</v>
      </c>
      <c r="H178" s="190"/>
      <c r="I178" s="191" t="s">
        <v>10</v>
      </c>
      <c r="J178" s="191"/>
      <c r="K178" s="191" t="s">
        <v>11</v>
      </c>
      <c r="L178" s="191"/>
      <c r="M178" s="191"/>
      <c r="N178" s="35" t="s">
        <v>12</v>
      </c>
      <c r="O178" s="35" t="s">
        <v>13</v>
      </c>
    </row>
    <row r="179" spans="1:15" ht="15.75">
      <c r="A179" s="187"/>
      <c r="B179" s="187"/>
      <c r="C179" s="7" t="s">
        <v>14</v>
      </c>
      <c r="D179" s="36" t="str">
        <f>+C180</f>
        <v>Iguaçu</v>
      </c>
      <c r="E179" s="7" t="str">
        <f>+D180</f>
        <v>Desvio Ribas</v>
      </c>
      <c r="F179" s="36" t="s">
        <v>78</v>
      </c>
      <c r="G179" s="36" t="str">
        <f>+E180</f>
        <v>Guarapuava</v>
      </c>
      <c r="H179" s="36" t="str">
        <f>+G180</f>
        <v>Cascavel</v>
      </c>
      <c r="I179" s="7" t="s">
        <v>79</v>
      </c>
      <c r="J179" s="36" t="s">
        <v>15</v>
      </c>
      <c r="K179" s="36" t="str">
        <f>+J180</f>
        <v>Front. Argentina</v>
      </c>
      <c r="L179" s="36" t="str">
        <f>+K180</f>
        <v>J.V. Gonzalez</v>
      </c>
      <c r="M179" s="7" t="str">
        <f>+L180</f>
        <v>Salta</v>
      </c>
      <c r="N179" s="36" t="str">
        <f>+M180</f>
        <v>Socompa</v>
      </c>
      <c r="O179" s="7" t="str">
        <f>+N180</f>
        <v>A Victoria</v>
      </c>
    </row>
    <row r="180" spans="1:15" ht="16.5" thickBot="1">
      <c r="A180" s="188"/>
      <c r="B180" s="188"/>
      <c r="C180" s="37" t="s">
        <v>80</v>
      </c>
      <c r="D180" s="37" t="s">
        <v>16</v>
      </c>
      <c r="E180" s="37" t="s">
        <v>17</v>
      </c>
      <c r="F180" s="37" t="s">
        <v>81</v>
      </c>
      <c r="G180" s="37" t="s">
        <v>18</v>
      </c>
      <c r="H180" s="37" t="s">
        <v>82</v>
      </c>
      <c r="I180" s="37" t="s">
        <v>19</v>
      </c>
      <c r="J180" s="37" t="s">
        <v>83</v>
      </c>
      <c r="K180" s="37" t="s">
        <v>84</v>
      </c>
      <c r="L180" s="37" t="s">
        <v>20</v>
      </c>
      <c r="M180" s="37" t="s">
        <v>21</v>
      </c>
      <c r="N180" s="37" t="s">
        <v>22</v>
      </c>
      <c r="O180" s="37" t="s">
        <v>23</v>
      </c>
    </row>
    <row r="181" spans="1:15" ht="15.75">
      <c r="A181" s="10" t="s">
        <v>133</v>
      </c>
      <c r="B181" s="11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</row>
    <row r="182" spans="1:15">
      <c r="A182" s="56">
        <v>2015</v>
      </c>
      <c r="B182" s="57" t="s">
        <v>134</v>
      </c>
      <c r="C182" s="58">
        <f>+C53</f>
        <v>12000000</v>
      </c>
      <c r="D182" s="58">
        <f t="shared" ref="D182:O182" si="171">+D53</f>
        <v>17400000</v>
      </c>
      <c r="E182" s="58">
        <f t="shared" si="171"/>
        <v>6400000</v>
      </c>
      <c r="F182" s="58">
        <f t="shared" si="171"/>
        <v>3500000</v>
      </c>
      <c r="G182" s="58">
        <f t="shared" si="171"/>
        <v>5900000</v>
      </c>
      <c r="H182" s="58">
        <f t="shared" si="171"/>
        <v>1700000</v>
      </c>
      <c r="I182" s="58">
        <f t="shared" si="171"/>
        <v>1900000</v>
      </c>
      <c r="J182" s="58">
        <f t="shared" si="171"/>
        <v>1000000</v>
      </c>
      <c r="K182" s="58">
        <f t="shared" si="171"/>
        <v>3000000</v>
      </c>
      <c r="L182" s="58">
        <f>+L53</f>
        <v>1600000</v>
      </c>
      <c r="M182" s="58">
        <f t="shared" si="171"/>
        <v>600000</v>
      </c>
      <c r="N182" s="58">
        <f t="shared" si="171"/>
        <v>1800000</v>
      </c>
      <c r="O182" s="58">
        <f t="shared" si="171"/>
        <v>2600000</v>
      </c>
    </row>
    <row r="183" spans="1:15">
      <c r="A183" s="56">
        <v>3030</v>
      </c>
      <c r="B183" s="57" t="s">
        <v>134</v>
      </c>
      <c r="C183" s="58">
        <f>+C96</f>
        <v>15000000</v>
      </c>
      <c r="D183" s="58">
        <f t="shared" ref="D183:O183" si="172">+D96</f>
        <v>21100000</v>
      </c>
      <c r="E183" s="58">
        <f t="shared" si="172"/>
        <v>9100000</v>
      </c>
      <c r="F183" s="58">
        <f t="shared" si="172"/>
        <v>4500000</v>
      </c>
      <c r="G183" s="58">
        <f t="shared" si="172"/>
        <v>8500000</v>
      </c>
      <c r="H183" s="58">
        <f t="shared" si="172"/>
        <v>3100000</v>
      </c>
      <c r="I183" s="58">
        <f t="shared" si="172"/>
        <v>3300000</v>
      </c>
      <c r="J183" s="58">
        <f t="shared" si="172"/>
        <v>1500000</v>
      </c>
      <c r="K183" s="58">
        <f t="shared" si="172"/>
        <v>3800000</v>
      </c>
      <c r="L183" s="58">
        <f>+L96</f>
        <v>2000000</v>
      </c>
      <c r="M183" s="58">
        <f t="shared" si="172"/>
        <v>700000</v>
      </c>
      <c r="N183" s="58">
        <f t="shared" si="172"/>
        <v>1900000</v>
      </c>
      <c r="O183" s="58">
        <f t="shared" si="172"/>
        <v>2700000</v>
      </c>
    </row>
    <row r="184" spans="1:15">
      <c r="A184" s="56">
        <v>2045</v>
      </c>
      <c r="B184" s="57" t="s">
        <v>134</v>
      </c>
      <c r="C184" s="58">
        <f>+C139</f>
        <v>18700000</v>
      </c>
      <c r="D184" s="58">
        <f t="shared" ref="D184:O184" si="173">+D139</f>
        <v>25000000</v>
      </c>
      <c r="E184" s="58">
        <f t="shared" si="173"/>
        <v>12000000</v>
      </c>
      <c r="F184" s="58">
        <f t="shared" si="173"/>
        <v>5500000</v>
      </c>
      <c r="G184" s="58">
        <f t="shared" si="173"/>
        <v>11200000</v>
      </c>
      <c r="H184" s="58">
        <f t="shared" si="173"/>
        <v>4200000</v>
      </c>
      <c r="I184" s="58">
        <f t="shared" si="173"/>
        <v>4300000</v>
      </c>
      <c r="J184" s="58">
        <f t="shared" si="173"/>
        <v>2000000</v>
      </c>
      <c r="K184" s="58">
        <f t="shared" si="173"/>
        <v>4600000</v>
      </c>
      <c r="L184" s="58">
        <f>+L139</f>
        <v>3500000</v>
      </c>
      <c r="M184" s="58">
        <f t="shared" si="173"/>
        <v>800000</v>
      </c>
      <c r="N184" s="58">
        <f t="shared" si="173"/>
        <v>2000000</v>
      </c>
      <c r="O184" s="58">
        <f t="shared" si="173"/>
        <v>2800000</v>
      </c>
    </row>
    <row r="185" spans="1:15" ht="15.75">
      <c r="A185" s="59" t="s">
        <v>135</v>
      </c>
      <c r="B185" s="57"/>
    </row>
    <row r="186" spans="1:15">
      <c r="A186" s="56">
        <v>2015</v>
      </c>
      <c r="B186" s="57" t="s">
        <v>136</v>
      </c>
      <c r="C186" s="58">
        <f>+C57</f>
        <v>1305072</v>
      </c>
      <c r="D186" s="58">
        <f t="shared" ref="D186:O186" si="174">+D57</f>
        <v>1839501.9</v>
      </c>
      <c r="E186" s="58">
        <f t="shared" si="174"/>
        <v>1356160</v>
      </c>
      <c r="F186" s="58">
        <f t="shared" si="174"/>
        <v>816063.32499999995</v>
      </c>
      <c r="G186" s="58">
        <f t="shared" si="174"/>
        <v>1463200</v>
      </c>
      <c r="H186" s="58">
        <f t="shared" si="174"/>
        <v>295120</v>
      </c>
      <c r="I186" s="58">
        <f t="shared" si="174"/>
        <v>493506</v>
      </c>
      <c r="J186" s="58">
        <f t="shared" si="174"/>
        <v>291645.00000000006</v>
      </c>
      <c r="K186" s="58">
        <f t="shared" si="174"/>
        <v>1671359.2499999998</v>
      </c>
      <c r="L186" s="58">
        <f>+L57</f>
        <v>357543.99999999994</v>
      </c>
      <c r="M186" s="58">
        <f t="shared" si="174"/>
        <v>342600</v>
      </c>
      <c r="N186" s="58">
        <f t="shared" si="174"/>
        <v>325800</v>
      </c>
      <c r="O186" s="58">
        <f t="shared" si="174"/>
        <v>310050</v>
      </c>
    </row>
    <row r="187" spans="1:15">
      <c r="A187" s="56">
        <v>3030</v>
      </c>
      <c r="B187" s="57" t="s">
        <v>136</v>
      </c>
      <c r="C187" s="58">
        <f>+C100</f>
        <v>1631340</v>
      </c>
      <c r="D187" s="58">
        <f t="shared" ref="D187:O187" si="175">+D100</f>
        <v>2230660.35</v>
      </c>
      <c r="E187" s="58">
        <f t="shared" si="175"/>
        <v>1928290</v>
      </c>
      <c r="F187" s="58">
        <f t="shared" si="175"/>
        <v>1049224.2750000001</v>
      </c>
      <c r="G187" s="58">
        <f t="shared" si="175"/>
        <v>2108000</v>
      </c>
      <c r="H187" s="58">
        <f t="shared" si="175"/>
        <v>538160</v>
      </c>
      <c r="I187" s="58">
        <f t="shared" si="175"/>
        <v>857142</v>
      </c>
      <c r="J187" s="58">
        <f t="shared" si="175"/>
        <v>437467.50000000006</v>
      </c>
      <c r="K187" s="58">
        <f t="shared" si="175"/>
        <v>2117055.0499999998</v>
      </c>
      <c r="L187" s="58">
        <f>+L100</f>
        <v>446929.99999999994</v>
      </c>
      <c r="M187" s="58">
        <f t="shared" si="175"/>
        <v>399700</v>
      </c>
      <c r="N187" s="58">
        <f t="shared" si="175"/>
        <v>343900</v>
      </c>
      <c r="O187" s="58">
        <f t="shared" si="175"/>
        <v>321975</v>
      </c>
    </row>
    <row r="188" spans="1:15">
      <c r="A188" s="56">
        <v>2045</v>
      </c>
      <c r="B188" s="57" t="s">
        <v>136</v>
      </c>
      <c r="C188" s="58">
        <f>+C143</f>
        <v>2033737.2</v>
      </c>
      <c r="D188" s="58">
        <f t="shared" ref="D188:O188" si="176">+D143</f>
        <v>2642962.5</v>
      </c>
      <c r="E188" s="58">
        <f t="shared" si="176"/>
        <v>2542800</v>
      </c>
      <c r="F188" s="58">
        <f t="shared" si="176"/>
        <v>1282385.2250000001</v>
      </c>
      <c r="G188" s="58">
        <f t="shared" si="176"/>
        <v>2777600</v>
      </c>
      <c r="H188" s="58">
        <f t="shared" si="176"/>
        <v>729120</v>
      </c>
      <c r="I188" s="58">
        <f t="shared" si="176"/>
        <v>1116882</v>
      </c>
      <c r="J188" s="58">
        <f t="shared" si="176"/>
        <v>583290.00000000012</v>
      </c>
      <c r="K188" s="58">
        <f t="shared" si="176"/>
        <v>2562750.85</v>
      </c>
      <c r="L188" s="58">
        <f t="shared" si="176"/>
        <v>782127.49999999988</v>
      </c>
      <c r="M188" s="58">
        <f t="shared" si="176"/>
        <v>456800</v>
      </c>
      <c r="N188" s="58">
        <f t="shared" si="176"/>
        <v>362000</v>
      </c>
      <c r="O188" s="58">
        <f t="shared" si="176"/>
        <v>333900</v>
      </c>
    </row>
    <row r="189" spans="1:15" ht="15.75">
      <c r="A189" s="59" t="s">
        <v>137</v>
      </c>
      <c r="B189" s="57"/>
    </row>
    <row r="190" spans="1:15">
      <c r="A190" s="32" t="s">
        <v>138</v>
      </c>
      <c r="B190" s="57" t="s">
        <v>92</v>
      </c>
      <c r="C190" s="60">
        <f>+C144</f>
        <v>80</v>
      </c>
      <c r="D190" s="60">
        <f t="shared" ref="D190:O191" si="177">+D144</f>
        <v>80</v>
      </c>
      <c r="E190" s="60">
        <f t="shared" si="177"/>
        <v>80</v>
      </c>
      <c r="F190" s="60">
        <f t="shared" si="177"/>
        <v>80</v>
      </c>
      <c r="G190" s="60">
        <f t="shared" si="177"/>
        <v>80</v>
      </c>
      <c r="H190" s="60">
        <f t="shared" si="177"/>
        <v>80</v>
      </c>
      <c r="I190" s="60">
        <f t="shared" si="177"/>
        <v>80</v>
      </c>
      <c r="J190" s="60">
        <f t="shared" si="177"/>
        <v>80</v>
      </c>
      <c r="K190" s="60">
        <f t="shared" si="177"/>
        <v>80</v>
      </c>
      <c r="L190" s="60">
        <f>+L144</f>
        <v>80</v>
      </c>
      <c r="M190" s="60">
        <f t="shared" si="177"/>
        <v>80</v>
      </c>
      <c r="N190" s="60">
        <f t="shared" si="177"/>
        <v>80</v>
      </c>
      <c r="O190" s="60">
        <f t="shared" si="177"/>
        <v>80</v>
      </c>
    </row>
    <row r="191" spans="1:15">
      <c r="A191" s="32" t="s">
        <v>139</v>
      </c>
      <c r="B191" s="57" t="s">
        <v>92</v>
      </c>
      <c r="C191" s="60">
        <f>+C145</f>
        <v>90</v>
      </c>
      <c r="D191" s="60">
        <f t="shared" si="177"/>
        <v>90</v>
      </c>
      <c r="E191" s="60">
        <f t="shared" si="177"/>
        <v>90</v>
      </c>
      <c r="F191" s="60">
        <f t="shared" si="177"/>
        <v>90</v>
      </c>
      <c r="G191" s="60">
        <f t="shared" si="177"/>
        <v>90</v>
      </c>
      <c r="H191" s="60">
        <f t="shared" si="177"/>
        <v>90</v>
      </c>
      <c r="I191" s="60">
        <f t="shared" si="177"/>
        <v>90</v>
      </c>
      <c r="J191" s="60">
        <f t="shared" si="177"/>
        <v>90</v>
      </c>
      <c r="K191" s="60">
        <f t="shared" si="177"/>
        <v>90</v>
      </c>
      <c r="L191" s="60">
        <f>+L145</f>
        <v>90</v>
      </c>
      <c r="M191" s="60">
        <f t="shared" si="177"/>
        <v>90</v>
      </c>
      <c r="N191" s="60">
        <f t="shared" si="177"/>
        <v>90</v>
      </c>
      <c r="O191" s="60">
        <f t="shared" si="177"/>
        <v>90</v>
      </c>
    </row>
    <row r="192" spans="1:15">
      <c r="A192" s="2" t="s">
        <v>140</v>
      </c>
      <c r="B192" s="11" t="s">
        <v>105</v>
      </c>
      <c r="C192" s="58">
        <f>+C155</f>
        <v>330</v>
      </c>
      <c r="D192" s="58">
        <f t="shared" ref="D192:O192" si="178">+D155</f>
        <v>330</v>
      </c>
      <c r="E192" s="58">
        <f t="shared" si="178"/>
        <v>330</v>
      </c>
      <c r="F192" s="58">
        <f t="shared" si="178"/>
        <v>330</v>
      </c>
      <c r="G192" s="58">
        <f t="shared" si="178"/>
        <v>330</v>
      </c>
      <c r="H192" s="58">
        <f t="shared" si="178"/>
        <v>330</v>
      </c>
      <c r="I192" s="58">
        <f t="shared" si="178"/>
        <v>330</v>
      </c>
      <c r="J192" s="58">
        <f t="shared" si="178"/>
        <v>330</v>
      </c>
      <c r="K192" s="58">
        <f t="shared" si="178"/>
        <v>330</v>
      </c>
      <c r="L192" s="58">
        <f>+L155</f>
        <v>330</v>
      </c>
      <c r="M192" s="58">
        <f t="shared" si="178"/>
        <v>300</v>
      </c>
      <c r="N192" s="58">
        <f t="shared" si="178"/>
        <v>330</v>
      </c>
      <c r="O192" s="58">
        <f t="shared" si="178"/>
        <v>330</v>
      </c>
    </row>
    <row r="193" spans="1:15">
      <c r="A193" s="2" t="s">
        <v>108</v>
      </c>
      <c r="B193" s="11" t="s">
        <v>92</v>
      </c>
      <c r="C193" s="61">
        <f>+C157</f>
        <v>0.2</v>
      </c>
      <c r="D193" s="61">
        <f t="shared" ref="D193:O193" si="179">+D157</f>
        <v>0.2</v>
      </c>
      <c r="E193" s="61">
        <f t="shared" si="179"/>
        <v>0.2</v>
      </c>
      <c r="F193" s="61">
        <f t="shared" si="179"/>
        <v>0.2</v>
      </c>
      <c r="G193" s="61">
        <f t="shared" si="179"/>
        <v>0.2</v>
      </c>
      <c r="H193" s="61">
        <f t="shared" si="179"/>
        <v>0.2</v>
      </c>
      <c r="I193" s="61">
        <f t="shared" si="179"/>
        <v>0.2</v>
      </c>
      <c r="J193" s="61">
        <f t="shared" si="179"/>
        <v>0.2</v>
      </c>
      <c r="K193" s="61">
        <f t="shared" si="179"/>
        <v>0.2</v>
      </c>
      <c r="L193" s="61">
        <f>+L157</f>
        <v>0.2</v>
      </c>
      <c r="M193" s="61">
        <f t="shared" si="179"/>
        <v>0.1</v>
      </c>
      <c r="N193" s="61">
        <f t="shared" si="179"/>
        <v>0.1</v>
      </c>
      <c r="O193" s="61">
        <f t="shared" si="179"/>
        <v>0.1</v>
      </c>
    </row>
    <row r="194" spans="1:15">
      <c r="A194" s="2" t="s">
        <v>112</v>
      </c>
      <c r="B194" s="11" t="s">
        <v>111</v>
      </c>
      <c r="C194" s="44">
        <f>+C160</f>
        <v>58.5</v>
      </c>
      <c r="D194" s="44">
        <f t="shared" ref="D194:O195" si="180">+D160</f>
        <v>58.5</v>
      </c>
      <c r="E194" s="44">
        <f t="shared" si="180"/>
        <v>58.5</v>
      </c>
      <c r="F194" s="44">
        <f t="shared" si="180"/>
        <v>58.5</v>
      </c>
      <c r="G194" s="44">
        <f t="shared" si="180"/>
        <v>58.5</v>
      </c>
      <c r="H194" s="44">
        <f t="shared" si="180"/>
        <v>58.5</v>
      </c>
      <c r="I194" s="44">
        <f t="shared" si="180"/>
        <v>58.5</v>
      </c>
      <c r="J194" s="44">
        <f t="shared" si="180"/>
        <v>58.5</v>
      </c>
      <c r="K194" s="44">
        <f t="shared" si="180"/>
        <v>58.5</v>
      </c>
      <c r="L194" s="44">
        <f>+L160</f>
        <v>58.5</v>
      </c>
      <c r="M194" s="44">
        <f t="shared" si="180"/>
        <v>58.5</v>
      </c>
      <c r="N194" s="44">
        <f t="shared" si="180"/>
        <v>58.5</v>
      </c>
      <c r="O194" s="44">
        <f t="shared" si="180"/>
        <v>58.5</v>
      </c>
    </row>
    <row r="195" spans="1:15">
      <c r="A195" s="2" t="s">
        <v>113</v>
      </c>
      <c r="B195" s="11" t="s">
        <v>111</v>
      </c>
      <c r="C195" s="44">
        <f>+C161</f>
        <v>20</v>
      </c>
      <c r="D195" s="44">
        <f t="shared" si="180"/>
        <v>20</v>
      </c>
      <c r="E195" s="44">
        <f t="shared" si="180"/>
        <v>20</v>
      </c>
      <c r="F195" s="44">
        <f t="shared" si="180"/>
        <v>20</v>
      </c>
      <c r="G195" s="44">
        <f t="shared" si="180"/>
        <v>20</v>
      </c>
      <c r="H195" s="44">
        <f t="shared" si="180"/>
        <v>20</v>
      </c>
      <c r="I195" s="44">
        <f t="shared" si="180"/>
        <v>20</v>
      </c>
      <c r="J195" s="44">
        <f t="shared" si="180"/>
        <v>20</v>
      </c>
      <c r="K195" s="44">
        <f t="shared" si="180"/>
        <v>20</v>
      </c>
      <c r="L195" s="44">
        <f>+L161</f>
        <v>20</v>
      </c>
      <c r="M195" s="44">
        <f t="shared" si="180"/>
        <v>20</v>
      </c>
      <c r="N195" s="44">
        <f t="shared" si="180"/>
        <v>20</v>
      </c>
      <c r="O195" s="44">
        <f t="shared" si="180"/>
        <v>20</v>
      </c>
    </row>
    <row r="196" spans="1:15">
      <c r="A196" s="2" t="s">
        <v>115</v>
      </c>
      <c r="B196" s="11" t="s">
        <v>111</v>
      </c>
      <c r="C196" s="44">
        <f>+C163</f>
        <v>78.5</v>
      </c>
      <c r="D196" s="44">
        <f t="shared" ref="D196:O196" si="181">+D163</f>
        <v>78.5</v>
      </c>
      <c r="E196" s="44">
        <f t="shared" si="181"/>
        <v>78.5</v>
      </c>
      <c r="F196" s="44">
        <f t="shared" si="181"/>
        <v>78.5</v>
      </c>
      <c r="G196" s="44">
        <f t="shared" si="181"/>
        <v>78.5</v>
      </c>
      <c r="H196" s="44">
        <f t="shared" si="181"/>
        <v>78.5</v>
      </c>
      <c r="I196" s="44">
        <f t="shared" si="181"/>
        <v>78.5</v>
      </c>
      <c r="J196" s="44">
        <f t="shared" si="181"/>
        <v>78.5</v>
      </c>
      <c r="K196" s="44">
        <f t="shared" si="181"/>
        <v>78.5</v>
      </c>
      <c r="L196" s="44">
        <f>+L163</f>
        <v>78.5</v>
      </c>
      <c r="M196" s="44">
        <f t="shared" si="181"/>
        <v>78.5</v>
      </c>
      <c r="N196" s="44">
        <f t="shared" si="181"/>
        <v>78.5</v>
      </c>
      <c r="O196" s="44">
        <f t="shared" si="181"/>
        <v>78.5</v>
      </c>
    </row>
    <row r="197" spans="1:15" ht="15.75">
      <c r="A197" s="10" t="s">
        <v>141</v>
      </c>
      <c r="B197" s="11"/>
    </row>
    <row r="198" spans="1:15">
      <c r="A198" s="56" t="s">
        <v>142</v>
      </c>
      <c r="B198" s="11" t="s">
        <v>107</v>
      </c>
      <c r="C198" s="44">
        <f>+C70</f>
        <v>6.9066735733402398</v>
      </c>
      <c r="D198" s="44">
        <f t="shared" ref="D198:O198" si="182">+D70</f>
        <v>10.014676681343348</v>
      </c>
      <c r="E198" s="44">
        <f t="shared" si="182"/>
        <v>3.6835592391147944</v>
      </c>
      <c r="F198" s="44">
        <f t="shared" si="182"/>
        <v>4.3166709833376498</v>
      </c>
      <c r="G198" s="44">
        <f t="shared" si="182"/>
        <v>3.3957811735589516</v>
      </c>
      <c r="H198" s="44">
        <f t="shared" si="182"/>
        <v>0.97844542288986736</v>
      </c>
      <c r="I198" s="44">
        <f t="shared" si="182"/>
        <v>1.0935566491122046</v>
      </c>
      <c r="J198" s="44">
        <f t="shared" si="182"/>
        <v>0.57555613111168669</v>
      </c>
      <c r="K198" s="44">
        <f t="shared" si="182"/>
        <v>2.8254573709119164</v>
      </c>
      <c r="L198" s="44">
        <f>+L70</f>
        <v>1.5069105978196888</v>
      </c>
      <c r="M198" s="44">
        <f t="shared" si="182"/>
        <v>2.8490028490028489</v>
      </c>
      <c r="N198" s="44">
        <f t="shared" si="182"/>
        <v>3.8850038850038846</v>
      </c>
      <c r="O198" s="44">
        <f t="shared" si="182"/>
        <v>3.7411148522259632</v>
      </c>
    </row>
    <row r="199" spans="1:15">
      <c r="A199" s="56" t="s">
        <v>143</v>
      </c>
      <c r="B199" s="11" t="s">
        <v>107</v>
      </c>
      <c r="C199" s="44">
        <f>+C113</f>
        <v>8.6333419666752995</v>
      </c>
      <c r="D199" s="44">
        <f t="shared" ref="D199:O199" si="183">+D113</f>
        <v>12.144234366456589</v>
      </c>
      <c r="E199" s="44">
        <f t="shared" si="183"/>
        <v>5.2375607931163488</v>
      </c>
      <c r="F199" s="44">
        <f t="shared" si="183"/>
        <v>5.5500055500055501</v>
      </c>
      <c r="G199" s="44">
        <f t="shared" si="183"/>
        <v>4.8922271144493363</v>
      </c>
      <c r="H199" s="44">
        <f t="shared" si="183"/>
        <v>1.7842240064462285</v>
      </c>
      <c r="I199" s="44">
        <f t="shared" si="183"/>
        <v>1.899335232668566</v>
      </c>
      <c r="J199" s="44">
        <f t="shared" si="183"/>
        <v>0.86333419666752997</v>
      </c>
      <c r="K199" s="44">
        <f t="shared" si="183"/>
        <v>3.5789126698217606</v>
      </c>
      <c r="L199" s="44">
        <f>+L113</f>
        <v>1.8836382472746109</v>
      </c>
      <c r="M199" s="44">
        <f t="shared" si="183"/>
        <v>3.3238366571699904</v>
      </c>
      <c r="N199" s="44">
        <f t="shared" si="183"/>
        <v>4.1008374341707681</v>
      </c>
      <c r="O199" s="44">
        <f t="shared" si="183"/>
        <v>3.8850038850038846</v>
      </c>
    </row>
    <row r="200" spans="1:15">
      <c r="A200" s="56" t="s">
        <v>144</v>
      </c>
      <c r="B200" s="11" t="s">
        <v>107</v>
      </c>
      <c r="C200" s="44">
        <f>+C156</f>
        <v>10.76289965178854</v>
      </c>
      <c r="D200" s="44">
        <f t="shared" ref="D200:O200" si="184">+D156</f>
        <v>14.388903277792167</v>
      </c>
      <c r="E200" s="44">
        <f t="shared" si="184"/>
        <v>6.9066735733402398</v>
      </c>
      <c r="F200" s="44">
        <f t="shared" si="184"/>
        <v>6.7833401166734495</v>
      </c>
      <c r="G200" s="44">
        <f t="shared" si="184"/>
        <v>6.4462286684508907</v>
      </c>
      <c r="H200" s="44">
        <f t="shared" si="184"/>
        <v>2.4173357506690838</v>
      </c>
      <c r="I200" s="44">
        <f t="shared" si="184"/>
        <v>2.4748913637802525</v>
      </c>
      <c r="J200" s="44">
        <f t="shared" si="184"/>
        <v>1.1511122622233734</v>
      </c>
      <c r="K200" s="44">
        <f t="shared" si="184"/>
        <v>4.3323679687316057</v>
      </c>
      <c r="L200" s="44">
        <f>+L156</f>
        <v>3.2963669327305691</v>
      </c>
      <c r="M200" s="44">
        <f t="shared" si="184"/>
        <v>3.7986704653371315</v>
      </c>
      <c r="N200" s="44">
        <f t="shared" si="184"/>
        <v>4.3166709833376498</v>
      </c>
      <c r="O200" s="44">
        <f t="shared" si="184"/>
        <v>4.0288929177818069</v>
      </c>
    </row>
    <row r="201" spans="1:15" ht="15.75">
      <c r="A201" s="10" t="s">
        <v>145</v>
      </c>
      <c r="B201" s="11"/>
    </row>
    <row r="202" spans="1:15">
      <c r="A202" s="56" t="s">
        <v>142</v>
      </c>
      <c r="B202" s="11" t="s">
        <v>107</v>
      </c>
      <c r="C202" s="44">
        <f>+C72</f>
        <v>8.2880082880082888</v>
      </c>
      <c r="D202" s="44">
        <f t="shared" ref="D202:O202" si="185">+D72</f>
        <v>12.017612017612016</v>
      </c>
      <c r="E202" s="44">
        <f t="shared" si="185"/>
        <v>4.4202710869377535</v>
      </c>
      <c r="F202" s="44">
        <f t="shared" si="185"/>
        <v>5.1800051800051801</v>
      </c>
      <c r="G202" s="44">
        <f t="shared" si="185"/>
        <v>4.0749374082707419</v>
      </c>
      <c r="H202" s="44">
        <f t="shared" si="185"/>
        <v>1.1741345074678409</v>
      </c>
      <c r="I202" s="44">
        <f t="shared" si="185"/>
        <v>1.3122679789346456</v>
      </c>
      <c r="J202" s="44">
        <f t="shared" si="185"/>
        <v>0.69066735733402407</v>
      </c>
      <c r="K202" s="44">
        <f t="shared" si="185"/>
        <v>3.3905488450942998</v>
      </c>
      <c r="L202" s="44">
        <f>+L72</f>
        <v>1.8082927173836265</v>
      </c>
      <c r="M202" s="44">
        <f t="shared" si="185"/>
        <v>3.133903133903134</v>
      </c>
      <c r="N202" s="44">
        <f t="shared" si="185"/>
        <v>4.2735042735042734</v>
      </c>
      <c r="O202" s="44">
        <f t="shared" si="185"/>
        <v>4.1152263374485596</v>
      </c>
    </row>
    <row r="203" spans="1:15">
      <c r="A203" s="56" t="s">
        <v>143</v>
      </c>
      <c r="B203" s="11" t="s">
        <v>107</v>
      </c>
      <c r="C203" s="44">
        <f>+C115</f>
        <v>10.36001036001036</v>
      </c>
      <c r="D203" s="44">
        <f t="shared" ref="D203:O203" si="186">+D115</f>
        <v>14.573081239747907</v>
      </c>
      <c r="E203" s="44">
        <f t="shared" si="186"/>
        <v>6.2850729517396182</v>
      </c>
      <c r="F203" s="44">
        <f t="shared" si="186"/>
        <v>6.6600066600066601</v>
      </c>
      <c r="G203" s="44">
        <f t="shared" si="186"/>
        <v>5.8706725373392032</v>
      </c>
      <c r="H203" s="44">
        <f t="shared" si="186"/>
        <v>2.1410688077354743</v>
      </c>
      <c r="I203" s="44">
        <f t="shared" si="186"/>
        <v>2.2792022792022792</v>
      </c>
      <c r="J203" s="44">
        <f t="shared" si="186"/>
        <v>1.0360010360010361</v>
      </c>
      <c r="K203" s="44">
        <f t="shared" si="186"/>
        <v>4.2946952037861124</v>
      </c>
      <c r="L203" s="44">
        <f>+L115</f>
        <v>2.260365896729533</v>
      </c>
      <c r="M203" s="44">
        <f t="shared" si="186"/>
        <v>3.6562203228869894</v>
      </c>
      <c r="N203" s="44">
        <f t="shared" si="186"/>
        <v>4.5109211775878446</v>
      </c>
      <c r="O203" s="44">
        <f t="shared" si="186"/>
        <v>4.2735042735042734</v>
      </c>
    </row>
    <row r="204" spans="1:15">
      <c r="A204" s="56" t="s">
        <v>144</v>
      </c>
      <c r="B204" s="18" t="s">
        <v>107</v>
      </c>
      <c r="C204" s="44">
        <f>+C158</f>
        <v>12.915479582146249</v>
      </c>
      <c r="D204" s="44">
        <f t="shared" ref="D204:O204" si="187">+D158</f>
        <v>17.266683933350599</v>
      </c>
      <c r="E204" s="44">
        <f t="shared" si="187"/>
        <v>8.2880082880082888</v>
      </c>
      <c r="F204" s="44">
        <f t="shared" si="187"/>
        <v>8.1400081400081401</v>
      </c>
      <c r="G204" s="44">
        <f t="shared" si="187"/>
        <v>7.7354744021410689</v>
      </c>
      <c r="H204" s="44">
        <f t="shared" si="187"/>
        <v>2.9008029008029004</v>
      </c>
      <c r="I204" s="44">
        <f t="shared" si="187"/>
        <v>2.9698696365363029</v>
      </c>
      <c r="J204" s="44">
        <f t="shared" si="187"/>
        <v>1.3813347146680481</v>
      </c>
      <c r="K204" s="44">
        <f t="shared" si="187"/>
        <v>5.1988415624779272</v>
      </c>
      <c r="L204" s="44">
        <f>+L158</f>
        <v>3.9556403192766831</v>
      </c>
      <c r="M204" s="44">
        <f t="shared" si="187"/>
        <v>4.1785375118708448</v>
      </c>
      <c r="N204" s="44">
        <f t="shared" si="187"/>
        <v>4.7483380816714149</v>
      </c>
      <c r="O204" s="44">
        <f t="shared" si="187"/>
        <v>4.4317822095599873</v>
      </c>
    </row>
    <row r="205" spans="1:15" ht="15.75">
      <c r="A205" s="38" t="s">
        <v>116</v>
      </c>
      <c r="B205" s="18"/>
    </row>
    <row r="206" spans="1:15">
      <c r="A206" s="56" t="s">
        <v>142</v>
      </c>
      <c r="B206" s="18" t="s">
        <v>55</v>
      </c>
      <c r="C206" s="52">
        <f>+C34</f>
        <v>0.89438172043010755</v>
      </c>
      <c r="D206" s="52">
        <f t="shared" ref="D206:O206" si="188">+D34</f>
        <v>0.86752284946236569</v>
      </c>
      <c r="E206" s="52">
        <f t="shared" si="188"/>
        <v>1.0412016129032258</v>
      </c>
      <c r="F206" s="52">
        <f t="shared" si="188"/>
        <v>1.2156922043010754</v>
      </c>
      <c r="G206" s="52">
        <f t="shared" si="188"/>
        <v>1.2916666666666665</v>
      </c>
      <c r="H206" s="52">
        <f t="shared" si="188"/>
        <v>1.05</v>
      </c>
      <c r="I206" s="52">
        <f t="shared" si="188"/>
        <v>1.3232258064516129</v>
      </c>
      <c r="J206" s="52">
        <f t="shared" si="188"/>
        <v>1.3673252688172046</v>
      </c>
      <c r="K206" s="52">
        <f t="shared" si="188"/>
        <v>2.2476337365591395</v>
      </c>
      <c r="L206" s="52">
        <f>+L34</f>
        <v>0.68404569892473122</v>
      </c>
      <c r="M206" s="52">
        <f t="shared" si="188"/>
        <v>2.28494623655914</v>
      </c>
      <c r="N206" s="52">
        <f t="shared" si="188"/>
        <v>0.66346153846153855</v>
      </c>
      <c r="O206" s="52">
        <f t="shared" si="188"/>
        <v>1.2155448717948718</v>
      </c>
    </row>
    <row r="207" spans="1:15">
      <c r="A207" s="56" t="s">
        <v>143</v>
      </c>
      <c r="B207" s="18" t="s">
        <v>55</v>
      </c>
      <c r="C207" s="52">
        <f>+C121</f>
        <v>0.95902150537634401</v>
      </c>
      <c r="D207" s="52">
        <f t="shared" ref="D207:O207" si="189">+D121</f>
        <v>0.32585618279569895</v>
      </c>
      <c r="E207" s="52">
        <f t="shared" si="189"/>
        <v>0.81962365591397857</v>
      </c>
      <c r="F207" s="52">
        <f t="shared" si="189"/>
        <v>1.2934434139784945</v>
      </c>
      <c r="G207" s="52">
        <f t="shared" si="189"/>
        <v>0.79166666666666663</v>
      </c>
      <c r="H207" s="52">
        <f t="shared" si="189"/>
        <v>1.1333333333333333</v>
      </c>
      <c r="I207" s="52">
        <f t="shared" si="189"/>
        <v>1.8648924731182797</v>
      </c>
      <c r="J207" s="52">
        <f t="shared" si="189"/>
        <v>1.9506586021505379</v>
      </c>
      <c r="K207" s="52">
        <f t="shared" si="189"/>
        <v>2.4976337365591395</v>
      </c>
      <c r="L207" s="52">
        <f>+L121</f>
        <v>1.2673790322580645</v>
      </c>
      <c r="M207" s="52">
        <f t="shared" si="189"/>
        <v>2.03494623655914</v>
      </c>
      <c r="N207" s="52">
        <f t="shared" si="189"/>
        <v>0.91346153846153855</v>
      </c>
      <c r="O207" s="52">
        <f t="shared" si="189"/>
        <v>1.0488782051282051</v>
      </c>
    </row>
    <row r="208" spans="1:15">
      <c r="A208" s="56" t="s">
        <v>144</v>
      </c>
      <c r="B208" s="16" t="s">
        <v>55</v>
      </c>
      <c r="C208" s="62">
        <f>+C164</f>
        <v>0.95902150537634401</v>
      </c>
      <c r="D208" s="62">
        <f t="shared" ref="D208:O208" si="190">+D164</f>
        <v>0.32585618279569895</v>
      </c>
      <c r="E208" s="62">
        <f t="shared" si="190"/>
        <v>0.81962365591397857</v>
      </c>
      <c r="F208" s="62">
        <f t="shared" si="190"/>
        <v>1.2934434139784945</v>
      </c>
      <c r="G208" s="62">
        <f t="shared" si="190"/>
        <v>0.79166666666666663</v>
      </c>
      <c r="H208" s="62">
        <f t="shared" si="190"/>
        <v>1.1333333333333333</v>
      </c>
      <c r="I208" s="62">
        <f t="shared" si="190"/>
        <v>1.8648924731182797</v>
      </c>
      <c r="J208" s="62">
        <f t="shared" si="190"/>
        <v>1.9506586021505379</v>
      </c>
      <c r="K208" s="62">
        <f t="shared" si="190"/>
        <v>2.4976337365591395</v>
      </c>
      <c r="L208" s="62">
        <f>+L164</f>
        <v>1.2673790322580645</v>
      </c>
      <c r="M208" s="62">
        <f t="shared" si="190"/>
        <v>2.03494623655914</v>
      </c>
      <c r="N208" s="62">
        <f t="shared" si="190"/>
        <v>0.91346153846153855</v>
      </c>
      <c r="O208" s="62">
        <f t="shared" si="190"/>
        <v>1.0488782051282051</v>
      </c>
    </row>
    <row r="209" spans="1:15" ht="15.75">
      <c r="A209" s="38" t="s">
        <v>146</v>
      </c>
      <c r="B209" s="18"/>
    </row>
    <row r="210" spans="1:15">
      <c r="A210" s="56" t="s">
        <v>142</v>
      </c>
      <c r="B210" s="18" t="s">
        <v>119</v>
      </c>
      <c r="C210" s="63">
        <f>+C80</f>
        <v>30</v>
      </c>
      <c r="D210" s="63">
        <f t="shared" ref="D210:O210" si="191">+D80</f>
        <v>15</v>
      </c>
      <c r="E210" s="63">
        <f t="shared" si="191"/>
        <v>19</v>
      </c>
      <c r="F210" s="63">
        <f t="shared" si="191"/>
        <v>17</v>
      </c>
      <c r="G210" s="63">
        <f t="shared" si="191"/>
        <v>17</v>
      </c>
      <c r="H210" s="63">
        <f t="shared" si="191"/>
        <v>7</v>
      </c>
      <c r="I210" s="63">
        <f t="shared" si="191"/>
        <v>10</v>
      </c>
      <c r="J210" s="63">
        <f t="shared" si="191"/>
        <v>6</v>
      </c>
      <c r="K210" s="63">
        <f t="shared" si="191"/>
        <v>32</v>
      </c>
      <c r="L210" s="63">
        <f>+L80</f>
        <v>9</v>
      </c>
      <c r="M210" s="63">
        <f t="shared" si="191"/>
        <v>16</v>
      </c>
      <c r="N210" s="63">
        <f t="shared" si="191"/>
        <v>15</v>
      </c>
      <c r="O210" s="63">
        <f t="shared" si="191"/>
        <v>22</v>
      </c>
    </row>
    <row r="211" spans="1:15">
      <c r="A211" s="56" t="s">
        <v>143</v>
      </c>
      <c r="B211" s="18" t="s">
        <v>119</v>
      </c>
      <c r="C211" s="63">
        <f>+C123</f>
        <v>38</v>
      </c>
      <c r="D211" s="63">
        <f t="shared" ref="D211:O211" si="192">+D123</f>
        <v>18</v>
      </c>
      <c r="E211" s="63">
        <f t="shared" si="192"/>
        <v>26</v>
      </c>
      <c r="F211" s="63">
        <f t="shared" si="192"/>
        <v>22</v>
      </c>
      <c r="G211" s="63">
        <f t="shared" si="192"/>
        <v>24</v>
      </c>
      <c r="H211" s="63">
        <f t="shared" si="192"/>
        <v>13</v>
      </c>
      <c r="I211" s="63">
        <f t="shared" si="192"/>
        <v>16</v>
      </c>
      <c r="J211" s="63">
        <f t="shared" si="192"/>
        <v>8</v>
      </c>
      <c r="K211" s="63">
        <f t="shared" si="192"/>
        <v>41</v>
      </c>
      <c r="L211" s="63">
        <f>+L123</f>
        <v>11</v>
      </c>
      <c r="M211" s="63">
        <f t="shared" si="192"/>
        <v>19</v>
      </c>
      <c r="N211" s="63">
        <f t="shared" si="192"/>
        <v>16</v>
      </c>
      <c r="O211" s="63">
        <f t="shared" si="192"/>
        <v>23</v>
      </c>
    </row>
    <row r="212" spans="1:15">
      <c r="A212" s="56" t="s">
        <v>144</v>
      </c>
      <c r="B212" s="18" t="s">
        <v>119</v>
      </c>
      <c r="C212" s="32">
        <f>+C168</f>
        <v>53</v>
      </c>
      <c r="D212" s="32">
        <f t="shared" ref="D212:O212" si="193">+D168</f>
        <v>25</v>
      </c>
      <c r="E212" s="32">
        <f t="shared" si="193"/>
        <v>37</v>
      </c>
      <c r="F212" s="32">
        <f t="shared" si="193"/>
        <v>30</v>
      </c>
      <c r="G212" s="32">
        <f t="shared" si="193"/>
        <v>33</v>
      </c>
      <c r="H212" s="32">
        <f t="shared" si="193"/>
        <v>18</v>
      </c>
      <c r="I212" s="32">
        <f t="shared" si="193"/>
        <v>23</v>
      </c>
      <c r="J212" s="32">
        <f t="shared" si="193"/>
        <v>12</v>
      </c>
      <c r="K212" s="32">
        <f t="shared" si="193"/>
        <v>51</v>
      </c>
      <c r="L212" s="32">
        <f>+L168</f>
        <v>20</v>
      </c>
      <c r="M212" s="32">
        <f t="shared" si="193"/>
        <v>23</v>
      </c>
      <c r="N212" s="32">
        <f t="shared" si="193"/>
        <v>19</v>
      </c>
      <c r="O212" s="32">
        <f t="shared" si="193"/>
        <v>27</v>
      </c>
    </row>
    <row r="213" spans="1:15" ht="15.75">
      <c r="A213" s="38" t="s">
        <v>147</v>
      </c>
      <c r="B213" s="18"/>
    </row>
    <row r="214" spans="1:15">
      <c r="A214" s="56" t="s">
        <v>142</v>
      </c>
      <c r="B214" s="18" t="s">
        <v>119</v>
      </c>
      <c r="C214" s="32">
        <f>+C81</f>
        <v>4</v>
      </c>
      <c r="D214" s="32">
        <f t="shared" ref="D214:O214" si="194">+D81</f>
        <v>2</v>
      </c>
      <c r="E214" s="32">
        <f t="shared" si="194"/>
        <v>2</v>
      </c>
      <c r="F214" s="32">
        <f t="shared" si="194"/>
        <v>2</v>
      </c>
      <c r="G214" s="32">
        <f t="shared" si="194"/>
        <v>1</v>
      </c>
      <c r="H214" s="32">
        <f t="shared" si="194"/>
        <v>1</v>
      </c>
      <c r="I214" s="32">
        <f t="shared" si="194"/>
        <v>1</v>
      </c>
      <c r="J214" s="32">
        <f t="shared" si="194"/>
        <v>1</v>
      </c>
      <c r="K214" s="32">
        <f t="shared" si="194"/>
        <v>1</v>
      </c>
      <c r="L214" s="32">
        <f>+L81</f>
        <v>1</v>
      </c>
      <c r="M214" s="32">
        <f t="shared" si="194"/>
        <v>1</v>
      </c>
      <c r="N214" s="32">
        <f t="shared" si="194"/>
        <v>1</v>
      </c>
      <c r="O214" s="32">
        <f t="shared" si="194"/>
        <v>2</v>
      </c>
    </row>
    <row r="215" spans="1:15">
      <c r="A215" s="56" t="s">
        <v>143</v>
      </c>
      <c r="B215" s="18" t="s">
        <v>119</v>
      </c>
      <c r="C215" s="32">
        <f>+C124</f>
        <v>6</v>
      </c>
      <c r="D215" s="32">
        <f t="shared" ref="D215:O215" si="195">+D124</f>
        <v>3</v>
      </c>
      <c r="E215" s="32">
        <f t="shared" si="195"/>
        <v>3</v>
      </c>
      <c r="F215" s="32">
        <f t="shared" si="195"/>
        <v>3</v>
      </c>
      <c r="G215" s="32">
        <f t="shared" si="195"/>
        <v>2</v>
      </c>
      <c r="H215" s="32">
        <f t="shared" si="195"/>
        <v>1</v>
      </c>
      <c r="I215" s="32">
        <f t="shared" si="195"/>
        <v>2</v>
      </c>
      <c r="J215" s="32">
        <f t="shared" si="195"/>
        <v>1</v>
      </c>
      <c r="K215" s="32">
        <f t="shared" si="195"/>
        <v>2</v>
      </c>
      <c r="L215" s="32">
        <f>+L124</f>
        <v>1</v>
      </c>
      <c r="M215" s="32">
        <f t="shared" si="195"/>
        <v>1</v>
      </c>
      <c r="N215" s="32">
        <f t="shared" si="195"/>
        <v>2</v>
      </c>
      <c r="O215" s="32">
        <f t="shared" si="195"/>
        <v>3</v>
      </c>
    </row>
    <row r="216" spans="1:15">
      <c r="A216" s="56" t="s">
        <v>144</v>
      </c>
      <c r="B216" s="18" t="s">
        <v>119</v>
      </c>
      <c r="C216" s="32">
        <f>+C167</f>
        <v>6</v>
      </c>
      <c r="D216" s="32">
        <f t="shared" ref="D216:O216" si="196">+D167</f>
        <v>3</v>
      </c>
      <c r="E216" s="32">
        <f t="shared" si="196"/>
        <v>3</v>
      </c>
      <c r="F216" s="32">
        <f t="shared" si="196"/>
        <v>3</v>
      </c>
      <c r="G216" s="32">
        <f t="shared" si="196"/>
        <v>2</v>
      </c>
      <c r="H216" s="32">
        <f t="shared" si="196"/>
        <v>1</v>
      </c>
      <c r="I216" s="32">
        <f t="shared" si="196"/>
        <v>2</v>
      </c>
      <c r="J216" s="32">
        <f t="shared" si="196"/>
        <v>1</v>
      </c>
      <c r="K216" s="32">
        <f t="shared" si="196"/>
        <v>2</v>
      </c>
      <c r="L216" s="32">
        <f>+L167</f>
        <v>1</v>
      </c>
      <c r="M216" s="32">
        <f t="shared" si="196"/>
        <v>1</v>
      </c>
      <c r="N216" s="32">
        <f t="shared" si="196"/>
        <v>2</v>
      </c>
      <c r="O216" s="32">
        <f t="shared" si="196"/>
        <v>3</v>
      </c>
    </row>
    <row r="217" spans="1:15" ht="15.75">
      <c r="A217" s="38" t="s">
        <v>148</v>
      </c>
      <c r="B217" s="64"/>
    </row>
    <row r="218" spans="1:15">
      <c r="A218" s="56" t="s">
        <v>142</v>
      </c>
      <c r="B218" s="18" t="s">
        <v>124</v>
      </c>
      <c r="C218" s="58">
        <f>+C84</f>
        <v>795</v>
      </c>
      <c r="D218" s="58">
        <f t="shared" ref="D218:O218" si="197">+D84</f>
        <v>392</v>
      </c>
      <c r="E218" s="58">
        <f t="shared" si="197"/>
        <v>363</v>
      </c>
      <c r="F218" s="58">
        <f t="shared" si="197"/>
        <v>313</v>
      </c>
      <c r="G218" s="58">
        <f t="shared" si="197"/>
        <v>323</v>
      </c>
      <c r="H218" s="58">
        <f t="shared" si="197"/>
        <v>134</v>
      </c>
      <c r="I218" s="58">
        <f t="shared" si="197"/>
        <v>245</v>
      </c>
      <c r="J218" s="58">
        <f t="shared" si="197"/>
        <v>135</v>
      </c>
      <c r="K218" s="58">
        <f t="shared" si="197"/>
        <v>518</v>
      </c>
      <c r="L218" s="58">
        <f>+L84</f>
        <v>141</v>
      </c>
      <c r="M218" s="58">
        <f t="shared" si="197"/>
        <v>86</v>
      </c>
      <c r="N218" s="58">
        <f t="shared" si="197"/>
        <v>105</v>
      </c>
      <c r="O218" s="58">
        <f t="shared" si="197"/>
        <v>173</v>
      </c>
    </row>
    <row r="219" spans="1:15">
      <c r="A219" s="56" t="s">
        <v>143</v>
      </c>
      <c r="B219" s="18" t="s">
        <v>124</v>
      </c>
      <c r="C219" s="58">
        <f>+C127</f>
        <v>994</v>
      </c>
      <c r="D219" s="58">
        <f t="shared" ref="D219:O219" si="198">+D127</f>
        <v>475</v>
      </c>
      <c r="E219" s="58">
        <f t="shared" si="198"/>
        <v>516</v>
      </c>
      <c r="F219" s="58">
        <f t="shared" si="198"/>
        <v>403</v>
      </c>
      <c r="G219" s="58">
        <f t="shared" si="198"/>
        <v>465</v>
      </c>
      <c r="H219" s="58">
        <f t="shared" si="198"/>
        <v>243</v>
      </c>
      <c r="I219" s="58">
        <f t="shared" si="198"/>
        <v>426</v>
      </c>
      <c r="J219" s="58">
        <f t="shared" si="198"/>
        <v>203</v>
      </c>
      <c r="K219" s="58">
        <f t="shared" si="198"/>
        <v>656</v>
      </c>
      <c r="L219" s="58">
        <f>+L127</f>
        <v>176</v>
      </c>
      <c r="M219" s="58">
        <f t="shared" si="198"/>
        <v>100</v>
      </c>
      <c r="N219" s="58">
        <f t="shared" si="198"/>
        <v>110</v>
      </c>
      <c r="O219" s="58">
        <f t="shared" si="198"/>
        <v>180</v>
      </c>
    </row>
    <row r="220" spans="1:15" ht="15.75" thickBot="1">
      <c r="A220" s="65" t="s">
        <v>144</v>
      </c>
      <c r="B220" s="29" t="s">
        <v>124</v>
      </c>
      <c r="C220" s="66">
        <f>+C170</f>
        <v>1239</v>
      </c>
      <c r="D220" s="66">
        <f t="shared" ref="D220:O220" si="199">+D170</f>
        <v>563</v>
      </c>
      <c r="E220" s="66">
        <f t="shared" si="199"/>
        <v>680</v>
      </c>
      <c r="F220" s="66">
        <f t="shared" si="199"/>
        <v>492</v>
      </c>
      <c r="G220" s="66">
        <f t="shared" si="199"/>
        <v>613</v>
      </c>
      <c r="H220" s="66">
        <f t="shared" si="199"/>
        <v>329</v>
      </c>
      <c r="I220" s="66">
        <f t="shared" si="199"/>
        <v>554</v>
      </c>
      <c r="J220" s="66">
        <f t="shared" si="199"/>
        <v>270</v>
      </c>
      <c r="K220" s="66">
        <f t="shared" si="199"/>
        <v>794</v>
      </c>
      <c r="L220" s="66">
        <f>+L170</f>
        <v>307</v>
      </c>
      <c r="M220" s="66">
        <f t="shared" si="199"/>
        <v>114</v>
      </c>
      <c r="N220" s="66">
        <f t="shared" si="199"/>
        <v>116</v>
      </c>
      <c r="O220" s="66">
        <f t="shared" si="199"/>
        <v>186</v>
      </c>
    </row>
    <row r="221" spans="1:15" ht="15.75">
      <c r="A221" s="21" t="s">
        <v>64</v>
      </c>
      <c r="B221" s="64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</row>
    <row r="222" spans="1:15">
      <c r="A222" s="50"/>
      <c r="B222" s="50"/>
    </row>
    <row r="223" spans="1:15">
      <c r="A223" s="50"/>
      <c r="B223" s="50"/>
      <c r="D223" s="52"/>
      <c r="E223" s="52"/>
      <c r="F223" s="52"/>
      <c r="G223" s="52"/>
      <c r="H223" s="52"/>
      <c r="I223" s="52"/>
      <c r="J223" s="52"/>
      <c r="K223" s="52"/>
      <c r="L223" s="52"/>
      <c r="M223" s="52"/>
      <c r="N223" s="52"/>
      <c r="O223" s="52"/>
    </row>
    <row r="224" spans="1:15" ht="15.75">
      <c r="A224" s="1" t="s">
        <v>149</v>
      </c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</row>
    <row r="225" spans="1:15" ht="16.5" thickBot="1">
      <c r="A225" s="38" t="s">
        <v>150</v>
      </c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</row>
    <row r="226" spans="1:15" ht="15.75">
      <c r="A226" s="186" t="s">
        <v>1</v>
      </c>
      <c r="B226" s="186" t="s">
        <v>2</v>
      </c>
      <c r="C226" s="189" t="s">
        <v>3</v>
      </c>
      <c r="D226" s="189"/>
      <c r="E226" s="189"/>
      <c r="F226" s="189"/>
      <c r="G226" s="189"/>
      <c r="H226" s="189"/>
      <c r="I226" s="189"/>
      <c r="J226" s="189"/>
      <c r="K226" s="189"/>
      <c r="L226" s="189"/>
      <c r="M226" s="189"/>
      <c r="N226" s="189"/>
      <c r="O226" s="189"/>
    </row>
    <row r="227" spans="1:15" ht="15.75">
      <c r="A227" s="187"/>
      <c r="B227" s="187"/>
      <c r="C227" s="190" t="s">
        <v>4</v>
      </c>
      <c r="D227" s="190"/>
      <c r="E227" s="190"/>
      <c r="F227" s="190"/>
      <c r="G227" s="190"/>
      <c r="H227" s="35"/>
      <c r="I227" s="190" t="s">
        <v>5</v>
      </c>
      <c r="J227" s="190"/>
      <c r="K227" s="190" t="s">
        <v>6</v>
      </c>
      <c r="L227" s="190"/>
      <c r="M227" s="190"/>
      <c r="N227" s="190" t="s">
        <v>7</v>
      </c>
      <c r="O227" s="190"/>
    </row>
    <row r="228" spans="1:15" ht="15.75">
      <c r="A228" s="187"/>
      <c r="B228" s="187"/>
      <c r="C228" s="191" t="s">
        <v>8</v>
      </c>
      <c r="D228" s="191"/>
      <c r="E228" s="191"/>
      <c r="F228" s="191"/>
      <c r="G228" s="190" t="s">
        <v>9</v>
      </c>
      <c r="H228" s="190"/>
      <c r="I228" s="191" t="s">
        <v>10</v>
      </c>
      <c r="J228" s="191"/>
      <c r="K228" s="191" t="s">
        <v>11</v>
      </c>
      <c r="L228" s="191"/>
      <c r="M228" s="191"/>
      <c r="N228" s="35" t="s">
        <v>12</v>
      </c>
      <c r="O228" s="35" t="s">
        <v>13</v>
      </c>
    </row>
    <row r="229" spans="1:15" ht="15.75">
      <c r="A229" s="187"/>
      <c r="B229" s="187"/>
      <c r="C229" s="7" t="s">
        <v>14</v>
      </c>
      <c r="D229" s="36" t="str">
        <f>+C230</f>
        <v>Iguaçu</v>
      </c>
      <c r="E229" s="7" t="str">
        <f>+D230</f>
        <v>Desvio Ribas</v>
      </c>
      <c r="F229" s="36" t="s">
        <v>78</v>
      </c>
      <c r="G229" s="36" t="str">
        <f>+E230</f>
        <v>Guarapuava</v>
      </c>
      <c r="H229" s="36" t="str">
        <f>+G230</f>
        <v>Cascavel</v>
      </c>
      <c r="I229" s="7" t="s">
        <v>79</v>
      </c>
      <c r="J229" s="36" t="s">
        <v>15</v>
      </c>
      <c r="K229" s="36" t="str">
        <f>+J230</f>
        <v>Front. Argentina</v>
      </c>
      <c r="L229" s="36" t="str">
        <f>+K230</f>
        <v>J.V. Gonzalez</v>
      </c>
      <c r="M229" s="7" t="str">
        <f>+L230</f>
        <v>Salta</v>
      </c>
      <c r="N229" s="36" t="str">
        <f>+M230</f>
        <v>Socompa</v>
      </c>
      <c r="O229" s="7" t="str">
        <f>+N230</f>
        <v>A Victoria</v>
      </c>
    </row>
    <row r="230" spans="1:15" ht="16.5" thickBot="1">
      <c r="A230" s="188"/>
      <c r="B230" s="188"/>
      <c r="C230" s="37" t="s">
        <v>80</v>
      </c>
      <c r="D230" s="37" t="s">
        <v>16</v>
      </c>
      <c r="E230" s="37" t="s">
        <v>17</v>
      </c>
      <c r="F230" s="37" t="s">
        <v>81</v>
      </c>
      <c r="G230" s="37" t="s">
        <v>18</v>
      </c>
      <c r="H230" s="37" t="s">
        <v>82</v>
      </c>
      <c r="I230" s="37" t="s">
        <v>19</v>
      </c>
      <c r="J230" s="37" t="s">
        <v>83</v>
      </c>
      <c r="K230" s="37" t="s">
        <v>84</v>
      </c>
      <c r="L230" s="37" t="s">
        <v>20</v>
      </c>
      <c r="M230" s="37" t="s">
        <v>21</v>
      </c>
      <c r="N230" s="37" t="s">
        <v>22</v>
      </c>
      <c r="O230" s="37" t="s">
        <v>23</v>
      </c>
    </row>
    <row r="231" spans="1:15" ht="15.75">
      <c r="A231" s="67" t="s">
        <v>151</v>
      </c>
      <c r="B231" s="36"/>
      <c r="C231" s="36"/>
      <c r="D231" s="36"/>
      <c r="E231" s="36"/>
      <c r="F231" s="36"/>
      <c r="G231" s="36"/>
      <c r="H231" s="36"/>
      <c r="I231" s="36"/>
      <c r="J231" s="36"/>
      <c r="K231" s="36"/>
      <c r="L231" s="36"/>
      <c r="M231" s="36"/>
      <c r="N231" s="36"/>
      <c r="O231" s="36"/>
    </row>
    <row r="232" spans="1:15">
      <c r="A232" s="2" t="s">
        <v>152</v>
      </c>
      <c r="B232" s="11" t="s">
        <v>89</v>
      </c>
      <c r="C232" s="13">
        <f>+C53</f>
        <v>12000000</v>
      </c>
      <c r="D232" s="13">
        <f t="shared" ref="D232:O232" si="200">+D53</f>
        <v>17400000</v>
      </c>
      <c r="E232" s="13">
        <f t="shared" si="200"/>
        <v>6400000</v>
      </c>
      <c r="F232" s="13">
        <f t="shared" si="200"/>
        <v>3500000</v>
      </c>
      <c r="G232" s="13">
        <f t="shared" si="200"/>
        <v>5900000</v>
      </c>
      <c r="H232" s="13">
        <f t="shared" si="200"/>
        <v>1700000</v>
      </c>
      <c r="I232" s="13">
        <f t="shared" si="200"/>
        <v>1900000</v>
      </c>
      <c r="J232" s="13">
        <f t="shared" si="200"/>
        <v>1000000</v>
      </c>
      <c r="K232" s="13">
        <f t="shared" si="200"/>
        <v>3000000</v>
      </c>
      <c r="L232" s="13">
        <f t="shared" si="200"/>
        <v>1600000</v>
      </c>
      <c r="M232" s="13">
        <f t="shared" si="200"/>
        <v>600000</v>
      </c>
      <c r="N232" s="13">
        <f t="shared" si="200"/>
        <v>1800000</v>
      </c>
      <c r="O232" s="13">
        <f t="shared" si="200"/>
        <v>2600000</v>
      </c>
    </row>
    <row r="233" spans="1:15">
      <c r="A233" s="21" t="s">
        <v>102</v>
      </c>
      <c r="B233" s="18" t="s">
        <v>103</v>
      </c>
      <c r="C233" s="68">
        <f>+C68</f>
        <v>2279.202279202279</v>
      </c>
      <c r="D233" s="68">
        <f t="shared" ref="D233:O233" si="201">+D68</f>
        <v>3304.8433048433048</v>
      </c>
      <c r="E233" s="68">
        <f t="shared" si="201"/>
        <v>1215.5745489078822</v>
      </c>
      <c r="F233" s="68">
        <f t="shared" si="201"/>
        <v>1424.5014245014245</v>
      </c>
      <c r="G233" s="68">
        <f t="shared" si="201"/>
        <v>1120.607787274454</v>
      </c>
      <c r="H233" s="68">
        <f t="shared" si="201"/>
        <v>322.88698955365624</v>
      </c>
      <c r="I233" s="68">
        <f t="shared" si="201"/>
        <v>360.87369420702754</v>
      </c>
      <c r="J233" s="68">
        <f t="shared" si="201"/>
        <v>189.93352326685661</v>
      </c>
      <c r="K233" s="68">
        <f t="shared" si="201"/>
        <v>932.40093240093245</v>
      </c>
      <c r="L233" s="68">
        <f t="shared" si="201"/>
        <v>497.28049728049729</v>
      </c>
      <c r="M233" s="68">
        <f t="shared" si="201"/>
        <v>854.70085470085473</v>
      </c>
      <c r="N233" s="68">
        <f t="shared" si="201"/>
        <v>1282.051282051282</v>
      </c>
      <c r="O233" s="68">
        <f t="shared" si="201"/>
        <v>1234.5679012345679</v>
      </c>
    </row>
    <row r="234" spans="1:15">
      <c r="A234" s="21" t="s">
        <v>109</v>
      </c>
      <c r="B234" s="18" t="s">
        <v>107</v>
      </c>
      <c r="C234" s="69">
        <f>+C72</f>
        <v>8.2880082880082888</v>
      </c>
      <c r="D234" s="69">
        <f t="shared" ref="D234:O234" si="202">+D72</f>
        <v>12.017612017612016</v>
      </c>
      <c r="E234" s="69">
        <f t="shared" si="202"/>
        <v>4.4202710869377535</v>
      </c>
      <c r="F234" s="69">
        <f t="shared" si="202"/>
        <v>5.1800051800051801</v>
      </c>
      <c r="G234" s="69">
        <f t="shared" si="202"/>
        <v>4.0749374082707419</v>
      </c>
      <c r="H234" s="69">
        <f t="shared" si="202"/>
        <v>1.1741345074678409</v>
      </c>
      <c r="I234" s="69">
        <f t="shared" si="202"/>
        <v>1.3122679789346456</v>
      </c>
      <c r="J234" s="69">
        <f t="shared" si="202"/>
        <v>0.69066735733402407</v>
      </c>
      <c r="K234" s="69">
        <f t="shared" si="202"/>
        <v>3.3905488450942998</v>
      </c>
      <c r="L234" s="69">
        <f t="shared" si="202"/>
        <v>1.8082927173836265</v>
      </c>
      <c r="M234" s="69">
        <f t="shared" si="202"/>
        <v>3.133903133903134</v>
      </c>
      <c r="N234" s="69">
        <f t="shared" si="202"/>
        <v>4.2735042735042734</v>
      </c>
      <c r="O234" s="69">
        <f t="shared" si="202"/>
        <v>4.1152263374485596</v>
      </c>
    </row>
    <row r="235" spans="1:15">
      <c r="A235" s="21" t="s">
        <v>153</v>
      </c>
      <c r="B235" s="18" t="s">
        <v>119</v>
      </c>
      <c r="C235" s="70">
        <f>+C80</f>
        <v>30</v>
      </c>
      <c r="D235" s="70">
        <f t="shared" ref="D235:O236" si="203">+D80</f>
        <v>15</v>
      </c>
      <c r="E235" s="70">
        <f t="shared" si="203"/>
        <v>19</v>
      </c>
      <c r="F235" s="70">
        <f t="shared" si="203"/>
        <v>17</v>
      </c>
      <c r="G235" s="70">
        <f t="shared" si="203"/>
        <v>17</v>
      </c>
      <c r="H235" s="70">
        <f t="shared" si="203"/>
        <v>7</v>
      </c>
      <c r="I235" s="70">
        <f t="shared" si="203"/>
        <v>10</v>
      </c>
      <c r="J235" s="70">
        <f t="shared" si="203"/>
        <v>6</v>
      </c>
      <c r="K235" s="70">
        <f t="shared" si="203"/>
        <v>32</v>
      </c>
      <c r="L235" s="70">
        <f t="shared" si="203"/>
        <v>9</v>
      </c>
      <c r="M235" s="70">
        <f t="shared" si="203"/>
        <v>16</v>
      </c>
      <c r="N235" s="70">
        <f t="shared" si="203"/>
        <v>15</v>
      </c>
      <c r="O235" s="70">
        <f t="shared" si="203"/>
        <v>22</v>
      </c>
    </row>
    <row r="236" spans="1:15">
      <c r="A236" s="2" t="s">
        <v>154</v>
      </c>
      <c r="B236" s="16" t="s">
        <v>119</v>
      </c>
      <c r="C236" s="71">
        <f>+C81</f>
        <v>4</v>
      </c>
      <c r="D236" s="71">
        <f t="shared" si="203"/>
        <v>2</v>
      </c>
      <c r="E236" s="71">
        <f t="shared" si="203"/>
        <v>2</v>
      </c>
      <c r="F236" s="71">
        <f t="shared" si="203"/>
        <v>2</v>
      </c>
      <c r="G236" s="71">
        <f t="shared" si="203"/>
        <v>1</v>
      </c>
      <c r="H236" s="71">
        <f t="shared" si="203"/>
        <v>1</v>
      </c>
      <c r="I236" s="71">
        <f t="shared" si="203"/>
        <v>1</v>
      </c>
      <c r="J236" s="71">
        <f t="shared" si="203"/>
        <v>1</v>
      </c>
      <c r="K236" s="71">
        <f t="shared" si="203"/>
        <v>1</v>
      </c>
      <c r="L236" s="71">
        <f t="shared" si="203"/>
        <v>1</v>
      </c>
      <c r="M236" s="71">
        <f t="shared" si="203"/>
        <v>1</v>
      </c>
      <c r="N236" s="71">
        <f t="shared" si="203"/>
        <v>1</v>
      </c>
      <c r="O236" s="71">
        <f t="shared" si="203"/>
        <v>2</v>
      </c>
    </row>
    <row r="237" spans="1:15" ht="15.75">
      <c r="A237" s="46" t="s">
        <v>121</v>
      </c>
      <c r="B237" s="47" t="s">
        <v>119</v>
      </c>
      <c r="C237" s="72">
        <f>+C235+C236</f>
        <v>34</v>
      </c>
      <c r="D237" s="72">
        <f t="shared" ref="D237:O237" si="204">+D235+D236</f>
        <v>17</v>
      </c>
      <c r="E237" s="72">
        <f t="shared" si="204"/>
        <v>21</v>
      </c>
      <c r="F237" s="72">
        <f t="shared" si="204"/>
        <v>19</v>
      </c>
      <c r="G237" s="72">
        <f t="shared" si="204"/>
        <v>18</v>
      </c>
      <c r="H237" s="72">
        <f t="shared" si="204"/>
        <v>8</v>
      </c>
      <c r="I237" s="72">
        <f t="shared" si="204"/>
        <v>11</v>
      </c>
      <c r="J237" s="72">
        <f t="shared" si="204"/>
        <v>7</v>
      </c>
      <c r="K237" s="72">
        <f t="shared" si="204"/>
        <v>33</v>
      </c>
      <c r="L237" s="72">
        <f t="shared" si="204"/>
        <v>10</v>
      </c>
      <c r="M237" s="72">
        <f t="shared" si="204"/>
        <v>17</v>
      </c>
      <c r="N237" s="72">
        <f t="shared" si="204"/>
        <v>16</v>
      </c>
      <c r="O237" s="72">
        <f t="shared" si="204"/>
        <v>24</v>
      </c>
    </row>
    <row r="238" spans="1:15" ht="16.5" thickBot="1">
      <c r="A238" s="4" t="s">
        <v>155</v>
      </c>
      <c r="B238" s="49" t="s">
        <v>124</v>
      </c>
      <c r="C238" s="4">
        <f>+C84</f>
        <v>795</v>
      </c>
      <c r="D238" s="4">
        <f t="shared" ref="D238:O238" si="205">+D84</f>
        <v>392</v>
      </c>
      <c r="E238" s="4">
        <f t="shared" si="205"/>
        <v>363</v>
      </c>
      <c r="F238" s="4">
        <f t="shared" si="205"/>
        <v>313</v>
      </c>
      <c r="G238" s="4">
        <f t="shared" si="205"/>
        <v>323</v>
      </c>
      <c r="H238" s="4">
        <f t="shared" si="205"/>
        <v>134</v>
      </c>
      <c r="I238" s="4">
        <f t="shared" si="205"/>
        <v>245</v>
      </c>
      <c r="J238" s="4">
        <f t="shared" si="205"/>
        <v>135</v>
      </c>
      <c r="K238" s="4">
        <f t="shared" si="205"/>
        <v>518</v>
      </c>
      <c r="L238" s="4">
        <f t="shared" si="205"/>
        <v>141</v>
      </c>
      <c r="M238" s="4">
        <f t="shared" si="205"/>
        <v>86</v>
      </c>
      <c r="N238" s="4">
        <f t="shared" si="205"/>
        <v>105</v>
      </c>
      <c r="O238" s="4">
        <f t="shared" si="205"/>
        <v>173</v>
      </c>
    </row>
    <row r="239" spans="1:15" ht="15.75">
      <c r="A239" s="73" t="s">
        <v>156</v>
      </c>
      <c r="B239" s="54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</row>
    <row r="240" spans="1:15">
      <c r="A240" s="2" t="s">
        <v>152</v>
      </c>
      <c r="B240" s="11" t="s">
        <v>89</v>
      </c>
      <c r="C240" s="13">
        <f>+C96</f>
        <v>15000000</v>
      </c>
      <c r="D240" s="13">
        <f t="shared" ref="D240:O240" si="206">+D96</f>
        <v>21100000</v>
      </c>
      <c r="E240" s="13">
        <f t="shared" si="206"/>
        <v>9100000</v>
      </c>
      <c r="F240" s="13">
        <f t="shared" si="206"/>
        <v>4500000</v>
      </c>
      <c r="G240" s="13">
        <f t="shared" si="206"/>
        <v>8500000</v>
      </c>
      <c r="H240" s="13">
        <f t="shared" si="206"/>
        <v>3100000</v>
      </c>
      <c r="I240" s="13">
        <f t="shared" si="206"/>
        <v>3300000</v>
      </c>
      <c r="J240" s="13">
        <f t="shared" si="206"/>
        <v>1500000</v>
      </c>
      <c r="K240" s="13">
        <f t="shared" si="206"/>
        <v>3800000</v>
      </c>
      <c r="L240" s="13">
        <f t="shared" si="206"/>
        <v>2000000</v>
      </c>
      <c r="M240" s="13">
        <f t="shared" si="206"/>
        <v>700000</v>
      </c>
      <c r="N240" s="13">
        <f t="shared" si="206"/>
        <v>1900000</v>
      </c>
      <c r="O240" s="13">
        <f t="shared" si="206"/>
        <v>2700000</v>
      </c>
    </row>
    <row r="241" spans="1:15">
      <c r="A241" s="2" t="s">
        <v>102</v>
      </c>
      <c r="B241" s="11" t="s">
        <v>103</v>
      </c>
      <c r="C241" s="19">
        <f>+C111</f>
        <v>2849.002849002849</v>
      </c>
      <c r="D241" s="19">
        <f t="shared" ref="D241:O241" si="207">+D111</f>
        <v>4007.5973409306744</v>
      </c>
      <c r="E241" s="19">
        <f t="shared" si="207"/>
        <v>1728.3950617283951</v>
      </c>
      <c r="F241" s="19">
        <f t="shared" si="207"/>
        <v>1831.5018315018315</v>
      </c>
      <c r="G241" s="19">
        <f t="shared" si="207"/>
        <v>1614.4349477682811</v>
      </c>
      <c r="H241" s="19">
        <f t="shared" si="207"/>
        <v>588.79392212725543</v>
      </c>
      <c r="I241" s="19">
        <f t="shared" si="207"/>
        <v>626.78062678062679</v>
      </c>
      <c r="J241" s="19">
        <f t="shared" si="207"/>
        <v>284.90028490028487</v>
      </c>
      <c r="K241" s="19">
        <f t="shared" si="207"/>
        <v>1181.0411810411811</v>
      </c>
      <c r="L241" s="19">
        <f t="shared" si="207"/>
        <v>621.60062160062159</v>
      </c>
      <c r="M241" s="19">
        <f t="shared" si="207"/>
        <v>997.15099715099711</v>
      </c>
      <c r="N241" s="19">
        <f t="shared" si="207"/>
        <v>1353.2763532763533</v>
      </c>
      <c r="O241" s="19">
        <f t="shared" si="207"/>
        <v>1282.051282051282</v>
      </c>
    </row>
    <row r="242" spans="1:15">
      <c r="A242" s="2" t="s">
        <v>109</v>
      </c>
      <c r="B242" s="11" t="s">
        <v>107</v>
      </c>
      <c r="C242" s="42">
        <f>+C115</f>
        <v>10.36001036001036</v>
      </c>
      <c r="D242" s="42">
        <f t="shared" ref="D242:O242" si="208">+D115</f>
        <v>14.573081239747907</v>
      </c>
      <c r="E242" s="42">
        <f t="shared" si="208"/>
        <v>6.2850729517396182</v>
      </c>
      <c r="F242" s="42">
        <f t="shared" si="208"/>
        <v>6.6600066600066601</v>
      </c>
      <c r="G242" s="42">
        <f t="shared" si="208"/>
        <v>5.8706725373392032</v>
      </c>
      <c r="H242" s="42">
        <f t="shared" si="208"/>
        <v>2.1410688077354743</v>
      </c>
      <c r="I242" s="42">
        <f t="shared" si="208"/>
        <v>2.2792022792022792</v>
      </c>
      <c r="J242" s="42">
        <f t="shared" si="208"/>
        <v>1.0360010360010361</v>
      </c>
      <c r="K242" s="42">
        <f t="shared" si="208"/>
        <v>4.2946952037861124</v>
      </c>
      <c r="L242" s="42">
        <f t="shared" si="208"/>
        <v>2.260365896729533</v>
      </c>
      <c r="M242" s="42">
        <f t="shared" si="208"/>
        <v>3.6562203228869894</v>
      </c>
      <c r="N242" s="42">
        <f t="shared" si="208"/>
        <v>4.5109211775878446</v>
      </c>
      <c r="O242" s="42">
        <f t="shared" si="208"/>
        <v>4.2735042735042734</v>
      </c>
    </row>
    <row r="243" spans="1:15">
      <c r="A243" s="2" t="s">
        <v>153</v>
      </c>
      <c r="B243" s="11" t="s">
        <v>119</v>
      </c>
      <c r="C243" s="45">
        <f>+C123</f>
        <v>38</v>
      </c>
      <c r="D243" s="45">
        <f t="shared" ref="D243:O244" si="209">+D123</f>
        <v>18</v>
      </c>
      <c r="E243" s="45">
        <f t="shared" si="209"/>
        <v>26</v>
      </c>
      <c r="F243" s="45">
        <f t="shared" si="209"/>
        <v>22</v>
      </c>
      <c r="G243" s="45">
        <f t="shared" si="209"/>
        <v>24</v>
      </c>
      <c r="H243" s="45">
        <f t="shared" si="209"/>
        <v>13</v>
      </c>
      <c r="I243" s="45">
        <f t="shared" si="209"/>
        <v>16</v>
      </c>
      <c r="J243" s="45">
        <f t="shared" si="209"/>
        <v>8</v>
      </c>
      <c r="K243" s="45">
        <f t="shared" si="209"/>
        <v>41</v>
      </c>
      <c r="L243" s="45">
        <f t="shared" si="209"/>
        <v>11</v>
      </c>
      <c r="M243" s="45">
        <f t="shared" si="209"/>
        <v>19</v>
      </c>
      <c r="N243" s="45">
        <f t="shared" si="209"/>
        <v>16</v>
      </c>
      <c r="O243" s="45">
        <f t="shared" si="209"/>
        <v>23</v>
      </c>
    </row>
    <row r="244" spans="1:15">
      <c r="A244" s="2" t="s">
        <v>154</v>
      </c>
      <c r="B244" s="16" t="s">
        <v>119</v>
      </c>
      <c r="C244" s="71">
        <f>+C124</f>
        <v>6</v>
      </c>
      <c r="D244" s="71">
        <f t="shared" si="209"/>
        <v>3</v>
      </c>
      <c r="E244" s="71">
        <f t="shared" si="209"/>
        <v>3</v>
      </c>
      <c r="F244" s="71">
        <f t="shared" si="209"/>
        <v>3</v>
      </c>
      <c r="G244" s="71">
        <f t="shared" si="209"/>
        <v>2</v>
      </c>
      <c r="H244" s="71">
        <f t="shared" si="209"/>
        <v>1</v>
      </c>
      <c r="I244" s="71">
        <f t="shared" si="209"/>
        <v>2</v>
      </c>
      <c r="J244" s="71">
        <f t="shared" si="209"/>
        <v>1</v>
      </c>
      <c r="K244" s="71">
        <f t="shared" si="209"/>
        <v>2</v>
      </c>
      <c r="L244" s="71">
        <f t="shared" si="209"/>
        <v>1</v>
      </c>
      <c r="M244" s="71">
        <f t="shared" si="209"/>
        <v>1</v>
      </c>
      <c r="N244" s="71">
        <f t="shared" si="209"/>
        <v>2</v>
      </c>
      <c r="O244" s="71">
        <f t="shared" si="209"/>
        <v>3</v>
      </c>
    </row>
    <row r="245" spans="1:15" ht="15.75">
      <c r="A245" s="46" t="s">
        <v>121</v>
      </c>
      <c r="B245" s="47" t="s">
        <v>119</v>
      </c>
      <c r="C245" s="72">
        <f>+C127</f>
        <v>994</v>
      </c>
      <c r="D245" s="72">
        <f t="shared" ref="D245:O245" si="210">+D127</f>
        <v>475</v>
      </c>
      <c r="E245" s="72">
        <f t="shared" si="210"/>
        <v>516</v>
      </c>
      <c r="F245" s="72">
        <f t="shared" si="210"/>
        <v>403</v>
      </c>
      <c r="G245" s="72">
        <f t="shared" si="210"/>
        <v>465</v>
      </c>
      <c r="H245" s="72">
        <f t="shared" si="210"/>
        <v>243</v>
      </c>
      <c r="I245" s="72">
        <f t="shared" si="210"/>
        <v>426</v>
      </c>
      <c r="J245" s="72">
        <f t="shared" si="210"/>
        <v>203</v>
      </c>
      <c r="K245" s="72">
        <f t="shared" si="210"/>
        <v>656</v>
      </c>
      <c r="L245" s="72">
        <f t="shared" si="210"/>
        <v>176</v>
      </c>
      <c r="M245" s="72">
        <f t="shared" si="210"/>
        <v>100</v>
      </c>
      <c r="N245" s="72">
        <f t="shared" si="210"/>
        <v>110</v>
      </c>
      <c r="O245" s="72">
        <f t="shared" si="210"/>
        <v>180</v>
      </c>
    </row>
    <row r="246" spans="1:15" ht="15.75">
      <c r="A246" s="46" t="s">
        <v>122</v>
      </c>
      <c r="B246" s="25"/>
      <c r="C246" s="24"/>
      <c r="D246" s="24"/>
      <c r="E246" s="24"/>
      <c r="F246" s="24"/>
      <c r="G246" s="24"/>
      <c r="H246" s="24"/>
      <c r="I246" s="24"/>
      <c r="J246" s="24"/>
      <c r="K246" s="24"/>
      <c r="L246" s="24"/>
      <c r="M246" s="24"/>
      <c r="N246" s="24"/>
      <c r="O246" s="24"/>
    </row>
    <row r="247" spans="1:15" ht="16.5" thickBot="1">
      <c r="A247" s="4" t="s">
        <v>123</v>
      </c>
      <c r="B247" s="49" t="s">
        <v>124</v>
      </c>
      <c r="C247" s="4">
        <v>819</v>
      </c>
      <c r="D247" s="4">
        <v>820</v>
      </c>
      <c r="E247" s="4">
        <v>821</v>
      </c>
      <c r="F247" s="4">
        <v>822</v>
      </c>
      <c r="G247" s="4">
        <v>823</v>
      </c>
      <c r="H247" s="4">
        <v>824</v>
      </c>
      <c r="I247" s="4">
        <v>825</v>
      </c>
      <c r="J247" s="4">
        <v>826</v>
      </c>
      <c r="K247" s="4">
        <v>827</v>
      </c>
      <c r="L247" s="4">
        <v>828</v>
      </c>
      <c r="M247" s="4">
        <v>829</v>
      </c>
      <c r="N247" s="4">
        <v>830</v>
      </c>
      <c r="O247" s="4">
        <v>831</v>
      </c>
    </row>
    <row r="248" spans="1:15" ht="15.75">
      <c r="A248" s="73" t="s">
        <v>157</v>
      </c>
      <c r="B248" s="54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</row>
    <row r="249" spans="1:15">
      <c r="A249" s="2" t="s">
        <v>152</v>
      </c>
      <c r="B249" s="11" t="s">
        <v>89</v>
      </c>
      <c r="C249" s="13">
        <f>+C139</f>
        <v>18700000</v>
      </c>
      <c r="D249" s="13">
        <f t="shared" ref="D249:O249" si="211">+D139</f>
        <v>25000000</v>
      </c>
      <c r="E249" s="13">
        <f t="shared" si="211"/>
        <v>12000000</v>
      </c>
      <c r="F249" s="13">
        <f t="shared" si="211"/>
        <v>5500000</v>
      </c>
      <c r="G249" s="13">
        <f t="shared" si="211"/>
        <v>11200000</v>
      </c>
      <c r="H249" s="13">
        <f t="shared" si="211"/>
        <v>4200000</v>
      </c>
      <c r="I249" s="13">
        <f t="shared" si="211"/>
        <v>4300000</v>
      </c>
      <c r="J249" s="13">
        <f t="shared" si="211"/>
        <v>2000000</v>
      </c>
      <c r="K249" s="13">
        <f t="shared" si="211"/>
        <v>4600000</v>
      </c>
      <c r="L249" s="13">
        <f t="shared" si="211"/>
        <v>3500000</v>
      </c>
      <c r="M249" s="13">
        <f t="shared" si="211"/>
        <v>800000</v>
      </c>
      <c r="N249" s="13">
        <f t="shared" si="211"/>
        <v>2000000</v>
      </c>
      <c r="O249" s="13">
        <f t="shared" si="211"/>
        <v>2800000</v>
      </c>
    </row>
    <row r="250" spans="1:15">
      <c r="A250" s="2" t="s">
        <v>102</v>
      </c>
      <c r="B250" s="11" t="s">
        <v>103</v>
      </c>
      <c r="C250" s="19">
        <f>+C154</f>
        <v>3551.7568850902185</v>
      </c>
      <c r="D250" s="19">
        <f t="shared" ref="D250:O250" si="212">+D154</f>
        <v>4748.3380816714152</v>
      </c>
      <c r="E250" s="19">
        <f t="shared" si="212"/>
        <v>2279.202279202279</v>
      </c>
      <c r="F250" s="19">
        <f t="shared" si="212"/>
        <v>2238.5022385022385</v>
      </c>
      <c r="G250" s="19">
        <f t="shared" si="212"/>
        <v>2127.255460588794</v>
      </c>
      <c r="H250" s="19">
        <f t="shared" si="212"/>
        <v>797.72079772079769</v>
      </c>
      <c r="I250" s="19">
        <f t="shared" si="212"/>
        <v>816.71415004748337</v>
      </c>
      <c r="J250" s="19">
        <f t="shared" si="212"/>
        <v>379.86704653371322</v>
      </c>
      <c r="K250" s="19">
        <f t="shared" si="212"/>
        <v>1429.6814296814298</v>
      </c>
      <c r="L250" s="19">
        <f t="shared" si="212"/>
        <v>1087.8010878010878</v>
      </c>
      <c r="M250" s="19">
        <f t="shared" si="212"/>
        <v>1139.6011396011395</v>
      </c>
      <c r="N250" s="19">
        <f t="shared" si="212"/>
        <v>1424.5014245014245</v>
      </c>
      <c r="O250" s="19">
        <f t="shared" si="212"/>
        <v>1329.5346628679963</v>
      </c>
    </row>
    <row r="251" spans="1:15">
      <c r="A251" s="2" t="s">
        <v>109</v>
      </c>
      <c r="B251" s="11" t="s">
        <v>107</v>
      </c>
      <c r="C251" s="42">
        <f>+C158</f>
        <v>12.915479582146249</v>
      </c>
      <c r="D251" s="42">
        <f t="shared" ref="D251:O251" si="213">+D158</f>
        <v>17.266683933350599</v>
      </c>
      <c r="E251" s="42">
        <f t="shared" si="213"/>
        <v>8.2880082880082888</v>
      </c>
      <c r="F251" s="42">
        <f t="shared" si="213"/>
        <v>8.1400081400081401</v>
      </c>
      <c r="G251" s="42">
        <f t="shared" si="213"/>
        <v>7.7354744021410689</v>
      </c>
      <c r="H251" s="42">
        <f t="shared" si="213"/>
        <v>2.9008029008029004</v>
      </c>
      <c r="I251" s="42">
        <f t="shared" si="213"/>
        <v>2.9698696365363029</v>
      </c>
      <c r="J251" s="42">
        <f t="shared" si="213"/>
        <v>1.3813347146680481</v>
      </c>
      <c r="K251" s="42">
        <f t="shared" si="213"/>
        <v>5.1988415624779272</v>
      </c>
      <c r="L251" s="42">
        <f t="shared" si="213"/>
        <v>3.9556403192766831</v>
      </c>
      <c r="M251" s="42">
        <f t="shared" si="213"/>
        <v>4.1785375118708448</v>
      </c>
      <c r="N251" s="42">
        <f t="shared" si="213"/>
        <v>4.7483380816714149</v>
      </c>
      <c r="O251" s="42">
        <f t="shared" si="213"/>
        <v>4.4317822095599873</v>
      </c>
    </row>
    <row r="252" spans="1:15">
      <c r="A252" s="2" t="s">
        <v>153</v>
      </c>
      <c r="B252" s="11" t="s">
        <v>119</v>
      </c>
      <c r="C252" s="45">
        <f>+C166</f>
        <v>47</v>
      </c>
      <c r="D252" s="45">
        <f t="shared" ref="D252:O253" si="214">+D166</f>
        <v>22</v>
      </c>
      <c r="E252" s="45">
        <f t="shared" si="214"/>
        <v>34</v>
      </c>
      <c r="F252" s="45">
        <f t="shared" si="214"/>
        <v>27</v>
      </c>
      <c r="G252" s="45">
        <f t="shared" si="214"/>
        <v>31</v>
      </c>
      <c r="H252" s="45">
        <f t="shared" si="214"/>
        <v>17</v>
      </c>
      <c r="I252" s="45">
        <f t="shared" si="214"/>
        <v>21</v>
      </c>
      <c r="J252" s="45">
        <f t="shared" si="214"/>
        <v>11</v>
      </c>
      <c r="K252" s="45">
        <f t="shared" si="214"/>
        <v>49</v>
      </c>
      <c r="L252" s="45">
        <f t="shared" si="214"/>
        <v>19</v>
      </c>
      <c r="M252" s="45">
        <f t="shared" si="214"/>
        <v>22</v>
      </c>
      <c r="N252" s="45">
        <f t="shared" si="214"/>
        <v>17</v>
      </c>
      <c r="O252" s="45">
        <f t="shared" si="214"/>
        <v>24</v>
      </c>
    </row>
    <row r="253" spans="1:15">
      <c r="A253" s="2" t="s">
        <v>154</v>
      </c>
      <c r="B253" s="16" t="s">
        <v>119</v>
      </c>
      <c r="C253" s="71">
        <f>+C167</f>
        <v>6</v>
      </c>
      <c r="D253" s="71">
        <f t="shared" si="214"/>
        <v>3</v>
      </c>
      <c r="E253" s="71">
        <f t="shared" si="214"/>
        <v>3</v>
      </c>
      <c r="F253" s="71">
        <f t="shared" si="214"/>
        <v>3</v>
      </c>
      <c r="G253" s="71">
        <f t="shared" si="214"/>
        <v>2</v>
      </c>
      <c r="H253" s="71">
        <f t="shared" si="214"/>
        <v>1</v>
      </c>
      <c r="I253" s="71">
        <f t="shared" si="214"/>
        <v>2</v>
      </c>
      <c r="J253" s="71">
        <f t="shared" si="214"/>
        <v>1</v>
      </c>
      <c r="K253" s="71">
        <f t="shared" si="214"/>
        <v>2</v>
      </c>
      <c r="L253" s="71">
        <f t="shared" si="214"/>
        <v>1</v>
      </c>
      <c r="M253" s="71">
        <f t="shared" si="214"/>
        <v>1</v>
      </c>
      <c r="N253" s="71">
        <f t="shared" si="214"/>
        <v>2</v>
      </c>
      <c r="O253" s="71">
        <f t="shared" si="214"/>
        <v>3</v>
      </c>
    </row>
    <row r="254" spans="1:15" ht="15.75">
      <c r="A254" s="46" t="s">
        <v>121</v>
      </c>
      <c r="B254" s="47" t="s">
        <v>119</v>
      </c>
      <c r="C254" s="74">
        <f>+C252+C253</f>
        <v>53</v>
      </c>
      <c r="D254" s="74">
        <f t="shared" ref="D254:O254" si="215">+D252+D253</f>
        <v>25</v>
      </c>
      <c r="E254" s="74">
        <f t="shared" si="215"/>
        <v>37</v>
      </c>
      <c r="F254" s="74">
        <f t="shared" si="215"/>
        <v>30</v>
      </c>
      <c r="G254" s="74">
        <f t="shared" si="215"/>
        <v>33</v>
      </c>
      <c r="H254" s="74">
        <f t="shared" si="215"/>
        <v>18</v>
      </c>
      <c r="I254" s="74">
        <f t="shared" si="215"/>
        <v>23</v>
      </c>
      <c r="J254" s="74">
        <f t="shared" si="215"/>
        <v>12</v>
      </c>
      <c r="K254" s="74">
        <f t="shared" si="215"/>
        <v>51</v>
      </c>
      <c r="L254" s="74">
        <f t="shared" si="215"/>
        <v>20</v>
      </c>
      <c r="M254" s="74">
        <f t="shared" si="215"/>
        <v>23</v>
      </c>
      <c r="N254" s="74">
        <f t="shared" si="215"/>
        <v>19</v>
      </c>
      <c r="O254" s="74">
        <f t="shared" si="215"/>
        <v>27</v>
      </c>
    </row>
    <row r="255" spans="1:15" ht="16.5" thickBot="1">
      <c r="A255" s="4" t="s">
        <v>123</v>
      </c>
      <c r="B255" s="49" t="s">
        <v>124</v>
      </c>
      <c r="C255" s="55">
        <f>+C170</f>
        <v>1239</v>
      </c>
      <c r="D255" s="55">
        <f t="shared" ref="D255:O255" si="216">+D170</f>
        <v>563</v>
      </c>
      <c r="E255" s="55">
        <f t="shared" si="216"/>
        <v>680</v>
      </c>
      <c r="F255" s="55">
        <f t="shared" si="216"/>
        <v>492</v>
      </c>
      <c r="G255" s="55">
        <f t="shared" si="216"/>
        <v>613</v>
      </c>
      <c r="H255" s="55">
        <f t="shared" si="216"/>
        <v>329</v>
      </c>
      <c r="I255" s="55">
        <f t="shared" si="216"/>
        <v>554</v>
      </c>
      <c r="J255" s="55">
        <f t="shared" si="216"/>
        <v>270</v>
      </c>
      <c r="K255" s="55">
        <f t="shared" si="216"/>
        <v>794</v>
      </c>
      <c r="L255" s="55">
        <f t="shared" si="216"/>
        <v>307</v>
      </c>
      <c r="M255" s="55">
        <f t="shared" si="216"/>
        <v>114</v>
      </c>
      <c r="N255" s="55">
        <f t="shared" si="216"/>
        <v>116</v>
      </c>
      <c r="O255" s="55">
        <f t="shared" si="216"/>
        <v>186</v>
      </c>
    </row>
    <row r="256" spans="1:15">
      <c r="A256" s="54" t="s">
        <v>64</v>
      </c>
      <c r="B256" s="54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</row>
    <row r="257" spans="1:15">
      <c r="A257" s="50"/>
      <c r="B257" s="50"/>
      <c r="D257" s="52"/>
      <c r="E257" s="52"/>
      <c r="F257" s="52"/>
      <c r="G257" s="52"/>
      <c r="H257" s="52"/>
      <c r="I257" s="52"/>
      <c r="J257" s="52"/>
      <c r="K257" s="52"/>
      <c r="L257" s="52"/>
      <c r="M257" s="52"/>
      <c r="N257" s="52"/>
      <c r="O257" s="52"/>
    </row>
    <row r="258" spans="1:15">
      <c r="A258" s="50"/>
      <c r="B258" s="50"/>
      <c r="D258" s="52"/>
      <c r="E258" s="52"/>
      <c r="F258" s="52"/>
      <c r="G258" s="52"/>
      <c r="H258" s="52"/>
      <c r="I258" s="52"/>
      <c r="J258" s="52"/>
      <c r="K258" s="52"/>
      <c r="L258" s="52"/>
      <c r="M258" s="52"/>
      <c r="N258" s="52"/>
      <c r="O258" s="52"/>
    </row>
    <row r="259" spans="1:15">
      <c r="A259" s="50"/>
      <c r="B259" s="50"/>
      <c r="D259" s="52"/>
      <c r="E259" s="52"/>
      <c r="F259" s="52"/>
      <c r="G259" s="52"/>
      <c r="H259" s="52"/>
      <c r="I259" s="52"/>
      <c r="J259" s="52"/>
      <c r="K259" s="52"/>
      <c r="L259" s="52"/>
      <c r="M259" s="52"/>
      <c r="N259" s="52"/>
      <c r="O259" s="52"/>
    </row>
    <row r="260" spans="1:15" ht="15.75">
      <c r="A260" s="1" t="s">
        <v>158</v>
      </c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</row>
    <row r="261" spans="1:15" ht="16.5" thickBot="1">
      <c r="A261" s="38" t="s">
        <v>159</v>
      </c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</row>
    <row r="262" spans="1:15" ht="15.75">
      <c r="A262" s="186" t="s">
        <v>1</v>
      </c>
      <c r="B262" s="186" t="s">
        <v>2</v>
      </c>
      <c r="C262" s="189" t="s">
        <v>3</v>
      </c>
      <c r="D262" s="189"/>
      <c r="E262" s="189"/>
      <c r="F262" s="189"/>
      <c r="G262" s="189"/>
      <c r="H262" s="189"/>
      <c r="I262" s="189"/>
      <c r="J262" s="189"/>
      <c r="K262" s="189"/>
      <c r="L262" s="189"/>
      <c r="M262" s="189"/>
      <c r="N262" s="189"/>
      <c r="O262" s="189"/>
    </row>
    <row r="263" spans="1:15" ht="15.75">
      <c r="A263" s="187"/>
      <c r="B263" s="187"/>
      <c r="C263" s="190" t="s">
        <v>4</v>
      </c>
      <c r="D263" s="190"/>
      <c r="E263" s="190"/>
      <c r="F263" s="190"/>
      <c r="G263" s="190"/>
      <c r="H263" s="35"/>
      <c r="I263" s="190" t="s">
        <v>5</v>
      </c>
      <c r="J263" s="190"/>
      <c r="K263" s="190" t="s">
        <v>6</v>
      </c>
      <c r="L263" s="190"/>
      <c r="M263" s="190"/>
      <c r="N263" s="190" t="s">
        <v>7</v>
      </c>
      <c r="O263" s="190"/>
    </row>
    <row r="264" spans="1:15" ht="15.75">
      <c r="A264" s="187"/>
      <c r="B264" s="187"/>
      <c r="C264" s="191" t="s">
        <v>8</v>
      </c>
      <c r="D264" s="191"/>
      <c r="E264" s="191"/>
      <c r="F264" s="191"/>
      <c r="G264" s="190" t="s">
        <v>9</v>
      </c>
      <c r="H264" s="190"/>
      <c r="I264" s="191" t="s">
        <v>10</v>
      </c>
      <c r="J264" s="191"/>
      <c r="K264" s="191" t="s">
        <v>11</v>
      </c>
      <c r="L264" s="191"/>
      <c r="M264" s="191"/>
      <c r="N264" s="35" t="s">
        <v>12</v>
      </c>
      <c r="O264" s="35" t="s">
        <v>13</v>
      </c>
    </row>
    <row r="265" spans="1:15" ht="15.75">
      <c r="A265" s="187"/>
      <c r="B265" s="187"/>
      <c r="C265" s="7" t="s">
        <v>14</v>
      </c>
      <c r="D265" s="36" t="str">
        <f>+C266</f>
        <v>Iguaçu</v>
      </c>
      <c r="E265" s="7" t="str">
        <f>+D266</f>
        <v>Desvio Ribas</v>
      </c>
      <c r="F265" s="36" t="s">
        <v>78</v>
      </c>
      <c r="G265" s="36" t="str">
        <f>+E266</f>
        <v>Guarapuava</v>
      </c>
      <c r="H265" s="36" t="str">
        <f>+G266</f>
        <v>Cascavel</v>
      </c>
      <c r="I265" s="7" t="s">
        <v>79</v>
      </c>
      <c r="J265" s="36" t="s">
        <v>15</v>
      </c>
      <c r="K265" s="36" t="str">
        <f>+J266</f>
        <v>Front. Argentina</v>
      </c>
      <c r="L265" s="36" t="str">
        <f>+K266</f>
        <v>J.V. Gonzalez</v>
      </c>
      <c r="M265" s="7" t="str">
        <f>+L266</f>
        <v>Salta</v>
      </c>
      <c r="N265" s="36" t="str">
        <f>+M266</f>
        <v>Socompa</v>
      </c>
      <c r="O265" s="7" t="str">
        <f>+N266</f>
        <v>A Victoria</v>
      </c>
    </row>
    <row r="266" spans="1:15" ht="16.5" thickBot="1">
      <c r="A266" s="188"/>
      <c r="B266" s="188"/>
      <c r="C266" s="37" t="s">
        <v>80</v>
      </c>
      <c r="D266" s="37" t="s">
        <v>16</v>
      </c>
      <c r="E266" s="37" t="s">
        <v>17</v>
      </c>
      <c r="F266" s="37" t="s">
        <v>81</v>
      </c>
      <c r="G266" s="37" t="s">
        <v>18</v>
      </c>
      <c r="H266" s="37" t="s">
        <v>82</v>
      </c>
      <c r="I266" s="37" t="s">
        <v>19</v>
      </c>
      <c r="J266" s="37" t="s">
        <v>83</v>
      </c>
      <c r="K266" s="37" t="s">
        <v>84</v>
      </c>
      <c r="L266" s="37" t="s">
        <v>20</v>
      </c>
      <c r="M266" s="37" t="s">
        <v>21</v>
      </c>
      <c r="N266" s="37" t="s">
        <v>22</v>
      </c>
      <c r="O266" s="37" t="s">
        <v>23</v>
      </c>
    </row>
    <row r="267" spans="1:15" ht="15.75">
      <c r="A267" s="10" t="s">
        <v>160</v>
      </c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</row>
    <row r="268" spans="1:15">
      <c r="A268" s="75" t="s">
        <v>142</v>
      </c>
      <c r="B268" s="11" t="s">
        <v>119</v>
      </c>
      <c r="C268" s="45">
        <f>+C80</f>
        <v>30</v>
      </c>
      <c r="D268" s="45">
        <f>+D80</f>
        <v>15</v>
      </c>
      <c r="E268" s="45">
        <f>+E80</f>
        <v>19</v>
      </c>
      <c r="F268" s="45">
        <f t="shared" ref="F268:O268" si="217">+F80</f>
        <v>17</v>
      </c>
      <c r="G268" s="45">
        <f t="shared" si="217"/>
        <v>17</v>
      </c>
      <c r="H268" s="45">
        <f>+H80</f>
        <v>7</v>
      </c>
      <c r="I268" s="45">
        <f t="shared" si="217"/>
        <v>10</v>
      </c>
      <c r="J268" s="45">
        <f>+J80</f>
        <v>6</v>
      </c>
      <c r="K268" s="45">
        <f t="shared" si="217"/>
        <v>32</v>
      </c>
      <c r="L268" s="45">
        <f>+L80</f>
        <v>9</v>
      </c>
      <c r="M268" s="45">
        <f t="shared" si="217"/>
        <v>16</v>
      </c>
      <c r="N268" s="45">
        <f t="shared" si="217"/>
        <v>15</v>
      </c>
      <c r="O268" s="45">
        <f t="shared" si="217"/>
        <v>22</v>
      </c>
    </row>
    <row r="269" spans="1:15">
      <c r="A269" s="75" t="s">
        <v>143</v>
      </c>
      <c r="B269" s="11" t="s">
        <v>119</v>
      </c>
      <c r="C269" s="45">
        <f>+C123-C80</f>
        <v>8</v>
      </c>
      <c r="D269" s="45">
        <f>+D123-D80</f>
        <v>3</v>
      </c>
      <c r="E269" s="45">
        <f>+E123-E80</f>
        <v>7</v>
      </c>
      <c r="F269" s="45">
        <f t="shared" ref="F269:O269" si="218">+F123-F80</f>
        <v>5</v>
      </c>
      <c r="G269" s="45">
        <f t="shared" si="218"/>
        <v>7</v>
      </c>
      <c r="H269" s="45">
        <f>+H123-H80</f>
        <v>6</v>
      </c>
      <c r="I269" s="45">
        <f t="shared" si="218"/>
        <v>6</v>
      </c>
      <c r="J269" s="45">
        <f>+J123-J80</f>
        <v>2</v>
      </c>
      <c r="K269" s="45">
        <f t="shared" si="218"/>
        <v>9</v>
      </c>
      <c r="L269" s="45">
        <f>+L123-L80</f>
        <v>2</v>
      </c>
      <c r="M269" s="45">
        <f t="shared" si="218"/>
        <v>3</v>
      </c>
      <c r="N269" s="45">
        <f t="shared" si="218"/>
        <v>1</v>
      </c>
      <c r="O269" s="45">
        <f t="shared" si="218"/>
        <v>1</v>
      </c>
    </row>
    <row r="270" spans="1:15">
      <c r="A270" s="75" t="s">
        <v>144</v>
      </c>
      <c r="B270" s="11" t="s">
        <v>119</v>
      </c>
      <c r="C270" s="45">
        <f>+C166-C123</f>
        <v>9</v>
      </c>
      <c r="D270" s="45">
        <f>+D166-D123</f>
        <v>4</v>
      </c>
      <c r="E270" s="45">
        <f>+E166-E123</f>
        <v>8</v>
      </c>
      <c r="F270" s="45">
        <f t="shared" ref="F270:O270" si="219">+F166-F123</f>
        <v>5</v>
      </c>
      <c r="G270" s="45">
        <f t="shared" si="219"/>
        <v>7</v>
      </c>
      <c r="H270" s="45">
        <f>+H166-H123</f>
        <v>4</v>
      </c>
      <c r="I270" s="45">
        <f t="shared" si="219"/>
        <v>5</v>
      </c>
      <c r="J270" s="45">
        <f>+J166-J123</f>
        <v>3</v>
      </c>
      <c r="K270" s="45">
        <f t="shared" si="219"/>
        <v>8</v>
      </c>
      <c r="L270" s="45">
        <f>+L166-L123</f>
        <v>8</v>
      </c>
      <c r="M270" s="45">
        <f t="shared" si="219"/>
        <v>3</v>
      </c>
      <c r="N270" s="45">
        <f t="shared" si="219"/>
        <v>1</v>
      </c>
      <c r="O270" s="45">
        <f t="shared" si="219"/>
        <v>1</v>
      </c>
    </row>
    <row r="271" spans="1:15" ht="15.75">
      <c r="A271" s="38" t="s">
        <v>161</v>
      </c>
      <c r="B271" s="11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</row>
    <row r="272" spans="1:15">
      <c r="A272" s="75" t="s">
        <v>142</v>
      </c>
      <c r="B272" s="11" t="s">
        <v>119</v>
      </c>
      <c r="C272" s="2">
        <f>+C81</f>
        <v>4</v>
      </c>
      <c r="D272" s="2">
        <f t="shared" ref="D272:O272" si="220">+D81</f>
        <v>2</v>
      </c>
      <c r="E272" s="2">
        <f t="shared" si="220"/>
        <v>2</v>
      </c>
      <c r="F272" s="2">
        <f t="shared" si="220"/>
        <v>2</v>
      </c>
      <c r="G272" s="2">
        <f t="shared" si="220"/>
        <v>1</v>
      </c>
      <c r="H272" s="2">
        <f t="shared" si="220"/>
        <v>1</v>
      </c>
      <c r="I272" s="2">
        <f t="shared" si="220"/>
        <v>1</v>
      </c>
      <c r="J272" s="2">
        <f t="shared" si="220"/>
        <v>1</v>
      </c>
      <c r="K272" s="2">
        <f t="shared" si="220"/>
        <v>1</v>
      </c>
      <c r="L272" s="2">
        <f t="shared" si="220"/>
        <v>1</v>
      </c>
      <c r="M272" s="2">
        <f t="shared" si="220"/>
        <v>1</v>
      </c>
      <c r="N272" s="2">
        <f t="shared" si="220"/>
        <v>1</v>
      </c>
      <c r="O272" s="2">
        <f t="shared" si="220"/>
        <v>2</v>
      </c>
    </row>
    <row r="273" spans="1:15">
      <c r="A273" s="75" t="s">
        <v>143</v>
      </c>
      <c r="B273" s="11" t="s">
        <v>119</v>
      </c>
      <c r="C273" s="2">
        <f>+C124-C81</f>
        <v>2</v>
      </c>
      <c r="D273" s="2">
        <f>+D124-D81</f>
        <v>1</v>
      </c>
      <c r="E273" s="2">
        <f>+E124-E81</f>
        <v>1</v>
      </c>
      <c r="F273" s="2">
        <f>+F124-F81</f>
        <v>1</v>
      </c>
      <c r="G273" s="2">
        <f t="shared" ref="G273:O273" si="221">+G124-G81</f>
        <v>1</v>
      </c>
      <c r="H273" s="2">
        <f>+H124-H81</f>
        <v>0</v>
      </c>
      <c r="I273" s="2">
        <f t="shared" si="221"/>
        <v>1</v>
      </c>
      <c r="J273" s="2">
        <f>+J124-J81</f>
        <v>0</v>
      </c>
      <c r="K273" s="2">
        <f t="shared" si="221"/>
        <v>1</v>
      </c>
      <c r="L273" s="2">
        <f>+L124-L81</f>
        <v>0</v>
      </c>
      <c r="M273" s="2">
        <f t="shared" si="221"/>
        <v>0</v>
      </c>
      <c r="N273" s="2">
        <f t="shared" si="221"/>
        <v>1</v>
      </c>
      <c r="O273" s="2">
        <f t="shared" si="221"/>
        <v>1</v>
      </c>
    </row>
    <row r="274" spans="1:15">
      <c r="A274" s="75" t="s">
        <v>144</v>
      </c>
      <c r="B274" s="11" t="s">
        <v>119</v>
      </c>
      <c r="C274" s="2">
        <f>+C167-C124</f>
        <v>0</v>
      </c>
      <c r="D274" s="2">
        <f>+D167-D124</f>
        <v>0</v>
      </c>
      <c r="E274" s="2">
        <f>+E167-E124</f>
        <v>0</v>
      </c>
      <c r="F274" s="2">
        <f>+F167-F124</f>
        <v>0</v>
      </c>
      <c r="G274" s="2">
        <f t="shared" ref="G274:O274" si="222">+G167-G124</f>
        <v>0</v>
      </c>
      <c r="H274" s="2">
        <f>+H167-H124</f>
        <v>0</v>
      </c>
      <c r="I274" s="2">
        <f t="shared" si="222"/>
        <v>0</v>
      </c>
      <c r="J274" s="2">
        <f>+J167-J124</f>
        <v>0</v>
      </c>
      <c r="K274" s="2">
        <f t="shared" si="222"/>
        <v>0</v>
      </c>
      <c r="L274" s="2">
        <f>+L167-L124</f>
        <v>0</v>
      </c>
      <c r="M274" s="2">
        <f t="shared" si="222"/>
        <v>0</v>
      </c>
      <c r="N274" s="2">
        <f t="shared" si="222"/>
        <v>0</v>
      </c>
      <c r="O274" s="2">
        <f t="shared" si="222"/>
        <v>0</v>
      </c>
    </row>
    <row r="275" spans="1:15" ht="15.75">
      <c r="A275" s="10" t="s">
        <v>162</v>
      </c>
      <c r="B275" s="11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</row>
    <row r="276" spans="1:15">
      <c r="A276" s="75" t="s">
        <v>142</v>
      </c>
      <c r="B276" s="18" t="s">
        <v>124</v>
      </c>
      <c r="C276" s="12">
        <v>0</v>
      </c>
      <c r="D276" s="2">
        <f>+D84</f>
        <v>392</v>
      </c>
      <c r="E276" s="2">
        <f>+E84-E40</f>
        <v>264</v>
      </c>
      <c r="F276" s="2">
        <f>+F84-F40</f>
        <v>108</v>
      </c>
      <c r="G276" s="2">
        <f>+G84-G40</f>
        <v>209</v>
      </c>
      <c r="H276" s="2">
        <f>+H84-H40</f>
        <v>134</v>
      </c>
      <c r="I276" s="2">
        <f t="shared" ref="I276:O276" si="223">+I84</f>
        <v>245</v>
      </c>
      <c r="J276" s="2">
        <f t="shared" si="223"/>
        <v>135</v>
      </c>
      <c r="K276" s="2">
        <f t="shared" si="223"/>
        <v>518</v>
      </c>
      <c r="L276" s="2">
        <f>+L84</f>
        <v>141</v>
      </c>
      <c r="M276" s="2">
        <f t="shared" si="223"/>
        <v>86</v>
      </c>
      <c r="N276" s="2">
        <f t="shared" si="223"/>
        <v>105</v>
      </c>
      <c r="O276" s="2">
        <f t="shared" si="223"/>
        <v>173</v>
      </c>
    </row>
    <row r="277" spans="1:15">
      <c r="A277" s="75" t="s">
        <v>143</v>
      </c>
      <c r="B277" s="18" t="s">
        <v>124</v>
      </c>
      <c r="C277" s="2">
        <f>+C127-C84</f>
        <v>199</v>
      </c>
      <c r="D277" s="2">
        <f t="shared" ref="D277:O277" si="224">+D127-D84</f>
        <v>83</v>
      </c>
      <c r="E277" s="2">
        <f t="shared" si="224"/>
        <v>153</v>
      </c>
      <c r="F277" s="2">
        <f t="shared" si="224"/>
        <v>90</v>
      </c>
      <c r="G277" s="2">
        <f t="shared" si="224"/>
        <v>142</v>
      </c>
      <c r="H277" s="2">
        <f>+H127-H84</f>
        <v>109</v>
      </c>
      <c r="I277" s="2">
        <f t="shared" si="224"/>
        <v>181</v>
      </c>
      <c r="J277" s="2">
        <f>+J127-J84</f>
        <v>68</v>
      </c>
      <c r="K277" s="2">
        <f t="shared" si="224"/>
        <v>138</v>
      </c>
      <c r="L277" s="2">
        <f>+L127-L84</f>
        <v>35</v>
      </c>
      <c r="M277" s="2">
        <f t="shared" si="224"/>
        <v>14</v>
      </c>
      <c r="N277" s="2">
        <f t="shared" si="224"/>
        <v>5</v>
      </c>
      <c r="O277" s="2">
        <f t="shared" si="224"/>
        <v>7</v>
      </c>
    </row>
    <row r="278" spans="1:15" ht="15.75" thickBot="1">
      <c r="A278" s="76" t="s">
        <v>144</v>
      </c>
      <c r="B278" s="29" t="s">
        <v>124</v>
      </c>
      <c r="C278" s="5">
        <f>+C170-C127</f>
        <v>245</v>
      </c>
      <c r="D278" s="5">
        <f t="shared" ref="D278:O278" si="225">+D170-D127</f>
        <v>88</v>
      </c>
      <c r="E278" s="5">
        <f t="shared" si="225"/>
        <v>164</v>
      </c>
      <c r="F278" s="5">
        <f t="shared" si="225"/>
        <v>89</v>
      </c>
      <c r="G278" s="5">
        <f t="shared" si="225"/>
        <v>148</v>
      </c>
      <c r="H278" s="5">
        <f>+H170-H127</f>
        <v>86</v>
      </c>
      <c r="I278" s="5">
        <f t="shared" si="225"/>
        <v>128</v>
      </c>
      <c r="J278" s="5">
        <f>+J170-J127</f>
        <v>67</v>
      </c>
      <c r="K278" s="5">
        <f t="shared" si="225"/>
        <v>138</v>
      </c>
      <c r="L278" s="5">
        <f>+L170-L127</f>
        <v>131</v>
      </c>
      <c r="M278" s="5">
        <f t="shared" si="225"/>
        <v>14</v>
      </c>
      <c r="N278" s="5">
        <f t="shared" si="225"/>
        <v>6</v>
      </c>
      <c r="O278" s="5">
        <f t="shared" si="225"/>
        <v>6</v>
      </c>
    </row>
    <row r="279" spans="1:15">
      <c r="A279" s="21" t="s">
        <v>64</v>
      </c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</row>
  </sheetData>
  <mergeCells count="77">
    <mergeCell ref="N4:O4"/>
    <mergeCell ref="C5:F5"/>
    <mergeCell ref="G5:H5"/>
    <mergeCell ref="I5:J5"/>
    <mergeCell ref="K5:M5"/>
    <mergeCell ref="A47:A51"/>
    <mergeCell ref="B47:B51"/>
    <mergeCell ref="C47:O47"/>
    <mergeCell ref="C48:G48"/>
    <mergeCell ref="I48:J48"/>
    <mergeCell ref="K48:M48"/>
    <mergeCell ref="N48:O48"/>
    <mergeCell ref="C49:F49"/>
    <mergeCell ref="G49:H49"/>
    <mergeCell ref="A3:A7"/>
    <mergeCell ref="B3:B7"/>
    <mergeCell ref="C3:O3"/>
    <mergeCell ref="C4:G4"/>
    <mergeCell ref="I4:J4"/>
    <mergeCell ref="K4:M4"/>
    <mergeCell ref="I49:J49"/>
    <mergeCell ref="K49:M49"/>
    <mergeCell ref="A90:A94"/>
    <mergeCell ref="B90:B94"/>
    <mergeCell ref="C90:O90"/>
    <mergeCell ref="C91:G91"/>
    <mergeCell ref="I91:J91"/>
    <mergeCell ref="K91:M91"/>
    <mergeCell ref="N91:O91"/>
    <mergeCell ref="C92:F92"/>
    <mergeCell ref="G92:H92"/>
    <mergeCell ref="I92:J92"/>
    <mergeCell ref="K92:M92"/>
    <mergeCell ref="A133:A137"/>
    <mergeCell ref="B133:B137"/>
    <mergeCell ref="C133:O133"/>
    <mergeCell ref="C134:G134"/>
    <mergeCell ref="I134:J134"/>
    <mergeCell ref="K134:M134"/>
    <mergeCell ref="N134:O134"/>
    <mergeCell ref="C135:F135"/>
    <mergeCell ref="G135:H135"/>
    <mergeCell ref="I135:J135"/>
    <mergeCell ref="K135:M135"/>
    <mergeCell ref="A176:A180"/>
    <mergeCell ref="B176:B180"/>
    <mergeCell ref="C176:O176"/>
    <mergeCell ref="C177:G177"/>
    <mergeCell ref="I177:J177"/>
    <mergeCell ref="K177:M177"/>
    <mergeCell ref="A226:A230"/>
    <mergeCell ref="B226:B230"/>
    <mergeCell ref="C226:O226"/>
    <mergeCell ref="C227:G227"/>
    <mergeCell ref="I227:J227"/>
    <mergeCell ref="N177:O177"/>
    <mergeCell ref="C178:F178"/>
    <mergeCell ref="G178:H178"/>
    <mergeCell ref="I178:J178"/>
    <mergeCell ref="K178:M178"/>
    <mergeCell ref="K227:M227"/>
    <mergeCell ref="N227:O227"/>
    <mergeCell ref="C228:F228"/>
    <mergeCell ref="G228:H228"/>
    <mergeCell ref="I228:J228"/>
    <mergeCell ref="K228:M228"/>
    <mergeCell ref="K264:M264"/>
    <mergeCell ref="A262:A266"/>
    <mergeCell ref="B262:B266"/>
    <mergeCell ref="C262:O262"/>
    <mergeCell ref="C263:G263"/>
    <mergeCell ref="I263:J263"/>
    <mergeCell ref="K263:M263"/>
    <mergeCell ref="N263:O263"/>
    <mergeCell ref="C264:F264"/>
    <mergeCell ref="G264:H264"/>
    <mergeCell ref="I264:J264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Patamares</vt:lpstr>
      <vt:lpstr>Trens Atuais</vt:lpstr>
      <vt:lpstr>Trens Futuros</vt:lpstr>
      <vt:lpstr>Premissas</vt:lpstr>
      <vt:lpstr>Trens Tipos e Ciclos</vt:lpstr>
      <vt:lpstr>Frotas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dcterms:created xsi:type="dcterms:W3CDTF">2011-09-01T19:07:55Z</dcterms:created>
  <dcterms:modified xsi:type="dcterms:W3CDTF">2011-09-20T19:26:42Z</dcterms:modified>
</cp:coreProperties>
</file>