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905" yWindow="45" windowWidth="12390" windowHeight="9195" tabRatio="595" activeTab="0"/>
  </bookViews>
  <sheets>
    <sheet name="Formulário Dólar" sheetId="1" r:id="rId1"/>
    <sheet name="Formulário Euro" sheetId="2" r:id="rId2"/>
    <sheet name="Instruções" sheetId="3" r:id="rId3"/>
  </sheets>
  <externalReferences>
    <externalReference r:id="rId6"/>
    <externalReference r:id="rId7"/>
    <externalReference r:id="rId8"/>
  </externalReferences>
  <definedNames>
    <definedName name="aaaa" localSheetId="1">'[1]Formulário'!#REF!</definedName>
    <definedName name="aaaa">'[1]Formulário'!#REF!</definedName>
    <definedName name="AAAPlanilha" localSheetId="0">'Formulário Dólar'!#REF!</definedName>
    <definedName name="AAAPlanilha" localSheetId="1">'Formulário Euro'!#REF!</definedName>
    <definedName name="AAAPlanilha" localSheetId="2">'[2]Formulário'!#REF!</definedName>
    <definedName name="AAAPlanilha">#REF!</definedName>
    <definedName name="Ano" localSheetId="0">'Formulário Dólar'!#REF!</definedName>
    <definedName name="Ano" localSheetId="1">'Formulário Euro'!#REF!</definedName>
    <definedName name="Ano">#REF!</definedName>
    <definedName name="_xlnm.Print_Area" localSheetId="0">'Formulário Dólar'!$A$1:$BV$58</definedName>
    <definedName name="_xlnm.Print_Area" localSheetId="1">'Formulário Euro'!$A$1:$BV$49</definedName>
    <definedName name="_xlnm.Print_Area" localSheetId="2">'Instruções'!$B$2:$B$134</definedName>
    <definedName name="ÁreaDeImpressão" localSheetId="0">'Formulário Dólar'!$A$1:$BV$58</definedName>
    <definedName name="ÁreaDeImpressão" localSheetId="1">'Formulário Euro'!$A$1:$BV$49</definedName>
    <definedName name="ÁreaDeImpressão">#REF!</definedName>
    <definedName name="CartaAprovacao" localSheetId="1">'[3]Formulário'!#REF!</definedName>
    <definedName name="CartaAprovacao">'[3]Formulário'!#REF!</definedName>
    <definedName name="CEP" localSheetId="0">'Formulário Dólar'!#REF!</definedName>
    <definedName name="CEP" localSheetId="1">'Formulário Euro'!#REF!</definedName>
    <definedName name="CEP">#REF!</definedName>
    <definedName name="Certificado" localSheetId="0">'Formulário Dólar'!#REF!</definedName>
    <definedName name="Certificado" localSheetId="1">'Formulário Euro'!#REF!</definedName>
    <definedName name="Certificado">#REF!</definedName>
    <definedName name="CGC" localSheetId="0">'Formulário Dólar'!#REF!</definedName>
    <definedName name="CGC" localSheetId="1">'Formulário Euro'!#REF!</definedName>
    <definedName name="CGC" localSheetId="2">'[2]Formulário'!#REF!</definedName>
    <definedName name="CGC">#REF!</definedName>
    <definedName name="CGCExportadora" localSheetId="0">'Formulário Dólar'!#REF!</definedName>
    <definedName name="CGCExportadora" localSheetId="1">'Formulário Euro'!#REF!</definedName>
    <definedName name="CGCExportadora">#REF!</definedName>
    <definedName name="Cidade" localSheetId="0">'Formulário Dólar'!#REF!</definedName>
    <definedName name="Cidade" localSheetId="1">'Formulário Euro'!#REF!</definedName>
    <definedName name="Cidade">#REF!</definedName>
    <definedName name="CNPJ" localSheetId="0">'Formulário Dólar'!#REF!</definedName>
    <definedName name="CNPJ" localSheetId="1">'Formulário Euro'!#REF!</definedName>
    <definedName name="CNPJ" localSheetId="2">'[2]Formulário'!#REF!</definedName>
    <definedName name="CNPJ">#REF!</definedName>
    <definedName name="CNPJExportadora" localSheetId="0">'Formulário Dólar'!#REF!</definedName>
    <definedName name="CNPJExportadora" localSheetId="1">'Formulário Euro'!#REF!</definedName>
    <definedName name="CNPJExportadora">#REF!</definedName>
    <definedName name="CodigoMunicipio" localSheetId="0">'Formulário Dólar'!#REF!</definedName>
    <definedName name="CodigoMunicipio" localSheetId="1">'Formulário Euro'!#REF!</definedName>
    <definedName name="CodigoMunicipio">#REF!</definedName>
    <definedName name="CodigoPais" localSheetId="0">'Formulário Dólar'!#REF!</definedName>
    <definedName name="CodigoPais" localSheetId="1">'Formulário Euro'!#REF!</definedName>
    <definedName name="CodigoPais">#REF!</definedName>
    <definedName name="Credencial" localSheetId="0">'Formulário Dólar'!#REF!</definedName>
    <definedName name="Credencial" localSheetId="1">'Formulário Euro'!#REF!</definedName>
    <definedName name="Credencial">#REF!</definedName>
    <definedName name="Data" localSheetId="0">'Formulário Dólar'!#REF!</definedName>
    <definedName name="Data" localSheetId="1">'Formulário Euro'!#REF!</definedName>
    <definedName name="Data" localSheetId="2">'[2]Formulário'!#REF!</definedName>
    <definedName name="Data">#REF!</definedName>
    <definedName name="DataBase1" localSheetId="0">'Formulário Dólar'!#REF!</definedName>
    <definedName name="DataBase1" localSheetId="1">'Formulário Euro'!#REF!</definedName>
    <definedName name="DataBase1">#REF!</definedName>
    <definedName name="DataBase2" localSheetId="0">'Formulário Dólar'!#REF!</definedName>
    <definedName name="DataBase2" localSheetId="1">'Formulário Euro'!#REF!</definedName>
    <definedName name="DataBase2">#REF!</definedName>
    <definedName name="DataBase3" localSheetId="0">'Formulário Dólar'!#REF!</definedName>
    <definedName name="DataBase3" localSheetId="1">'Formulário Euro'!#REF!</definedName>
    <definedName name="DataBase3">#REF!</definedName>
    <definedName name="DataBase4" localSheetId="0">'Formulário Dólar'!#REF!</definedName>
    <definedName name="DataBase4" localSheetId="1">'Formulário Euro'!#REF!</definedName>
    <definedName name="DataBase4">#REF!</definedName>
    <definedName name="DataBase5" localSheetId="0">'Formulário Dólar'!#REF!</definedName>
    <definedName name="DataBase5" localSheetId="1">'Formulário Euro'!#REF!</definedName>
    <definedName name="DataBase5">#REF!</definedName>
    <definedName name="DataBase6" localSheetId="0">'Formulário Dólar'!#REF!</definedName>
    <definedName name="DataBase6" localSheetId="1">'Formulário Euro'!#REF!</definedName>
    <definedName name="DataBase6">#REF!</definedName>
    <definedName name="DataDocumento" localSheetId="1">'[3]Formulário'!#REF!</definedName>
    <definedName name="DataDocumento">'[3]Formulário'!#REF!</definedName>
    <definedName name="DataEmbarque1" localSheetId="0">'Formulário Dólar'!#REF!</definedName>
    <definedName name="DataEmbarque1" localSheetId="1">'Formulário Euro'!#REF!</definedName>
    <definedName name="DataEmbarque1" localSheetId="2">'[2]Formulário'!#REF!</definedName>
    <definedName name="DataEmbarque1">#REF!</definedName>
    <definedName name="DataEmbarque2" localSheetId="0">'Formulário Dólar'!#REF!</definedName>
    <definedName name="DataEmbarque2" localSheetId="1">'Formulário Euro'!#REF!</definedName>
    <definedName name="DataEmbarque2">#REF!</definedName>
    <definedName name="DataEmbarque3" localSheetId="0">'Formulário Dólar'!#REF!</definedName>
    <definedName name="DataEmbarque3" localSheetId="1">'Formulário Euro'!#REF!</definedName>
    <definedName name="DataEmbarque3" localSheetId="2">'[2]Formulário'!#REF!</definedName>
    <definedName name="DataEmbarque3">#REF!</definedName>
    <definedName name="DataEmbarque4" localSheetId="0">'Formulário Dólar'!#REF!</definedName>
    <definedName name="DataEmbarque4" localSheetId="1">'Formulário Euro'!#REF!</definedName>
    <definedName name="DataEmbarque4">#REF!</definedName>
    <definedName name="DataLiquidacao1" localSheetId="0">'Formulário Dólar'!#REF!</definedName>
    <definedName name="DataLiquidacao1" localSheetId="1">'Formulário Euro'!#REF!</definedName>
    <definedName name="DataLiquidacao1" localSheetId="2">'[2]Formulário'!#REF!</definedName>
    <definedName name="DataLiquidacao1">#REF!</definedName>
    <definedName name="DataLiquidacao2" localSheetId="0">'Formulário Dólar'!#REF!</definedName>
    <definedName name="DataLiquidacao2" localSheetId="1">'Formulário Euro'!#REF!</definedName>
    <definedName name="DataLiquidacao2" localSheetId="2">'[2]Formulário'!#REF!</definedName>
    <definedName name="DataLiquidacao2">#REF!</definedName>
    <definedName name="DataLiquidacao3" localSheetId="0">'Formulário Dólar'!#REF!</definedName>
    <definedName name="DataLiquidacao3" localSheetId="1">'Formulário Euro'!#REF!</definedName>
    <definedName name="DataLiquidacao3" localSheetId="2">'[2]Formulário'!#REF!</definedName>
    <definedName name="DataLiquidacao3">#REF!</definedName>
    <definedName name="DataLiquidacao4" localSheetId="0">'Formulário Dólar'!#REF!</definedName>
    <definedName name="DataLiquidacao4" localSheetId="1">'Formulário Euro'!#REF!</definedName>
    <definedName name="DataLiquidacao4" localSheetId="2">'[2]Formulário'!#REF!</definedName>
    <definedName name="DataLiquidacao4">#REF!</definedName>
    <definedName name="DataLiquidacao5" localSheetId="0">'Formulário Dólar'!#REF!</definedName>
    <definedName name="DataLiquidacao5" localSheetId="1">'Formulário Euro'!#REF!</definedName>
    <definedName name="DataLiquidacao5" localSheetId="2">'[2]Formulário'!#REF!</definedName>
    <definedName name="DataLiquidacao5">#REF!</definedName>
    <definedName name="DataLiquidacao6" localSheetId="0">'Formulário Dólar'!#REF!</definedName>
    <definedName name="DataLiquidacao6" localSheetId="1">'Formulário Euro'!#REF!</definedName>
    <definedName name="DataLiquidacao6" localSheetId="2">'[2]Formulário'!#REF!</definedName>
    <definedName name="DataLiquidacao6">#REF!</definedName>
    <definedName name="DataLiquidacao7" localSheetId="0">'Formulário Dólar'!#REF!</definedName>
    <definedName name="DataLiquidacao7" localSheetId="1">'Formulário Euro'!#REF!</definedName>
    <definedName name="DataLiquidacao7" localSheetId="2">'[2]Formulário'!#REF!</definedName>
    <definedName name="DataLiquidacao7">#REF!</definedName>
    <definedName name="DataLiquidacao8" localSheetId="0">'Formulário Dólar'!#REF!</definedName>
    <definedName name="DataLiquidacao8" localSheetId="1">'Formulário Euro'!#REF!</definedName>
    <definedName name="DataLiquidacao8">#REF!</definedName>
    <definedName name="DelCredere" localSheetId="0">'Formulário Dólar'!#REF!</definedName>
    <definedName name="DelCredere" localSheetId="1">'Formulário Euro'!#REF!</definedName>
    <definedName name="DelCredere">#REF!</definedName>
    <definedName name="DolarVenda" localSheetId="0">'Formulário Dólar'!#REF!</definedName>
    <definedName name="DolarVenda" localSheetId="1">'Formulário Euro'!#REF!</definedName>
    <definedName name="DolarVenda">#REF!</definedName>
    <definedName name="Especificacao1" localSheetId="0">'Formulário Dólar'!#REF!</definedName>
    <definedName name="Especificacao1" localSheetId="1">'Formulário Euro'!#REF!</definedName>
    <definedName name="Especificacao1">#REF!</definedName>
    <definedName name="Especificacao2" localSheetId="0">'Formulário Dólar'!#REF!</definedName>
    <definedName name="Especificacao2" localSheetId="1">'Formulário Euro'!#REF!</definedName>
    <definedName name="Especificacao2">#REF!</definedName>
    <definedName name="Especificacao3" localSheetId="0">'Formulário Dólar'!#REF!</definedName>
    <definedName name="Especificacao3" localSheetId="1">'Formulário Euro'!#REF!</definedName>
    <definedName name="Especificacao3">#REF!</definedName>
    <definedName name="Fax" localSheetId="0">'Formulário Dólar'!#REF!</definedName>
    <definedName name="Fax" localSheetId="1">'Formulário Euro'!#REF!</definedName>
    <definedName name="Fax">#REF!</definedName>
    <definedName name="FaxImportadora" localSheetId="0">'Formulário Dólar'!#REF!</definedName>
    <definedName name="FaxImportadora" localSheetId="1">'Formulário Euro'!#REF!</definedName>
    <definedName name="FaxImportadora">#REF!</definedName>
    <definedName name="FINAMEPercentual" localSheetId="0">'Formulário Dólar'!#REF!</definedName>
    <definedName name="FINAMEPercentual" localSheetId="1">'Formulário Euro'!#REF!</definedName>
    <definedName name="FINAMEPercentual">#REF!</definedName>
    <definedName name="FINAMEValor" localSheetId="0">'Formulário Dólar'!#REF!</definedName>
    <definedName name="FINAMEValor" localSheetId="1">'Formulário Euro'!#REF!</definedName>
    <definedName name="FINAMEValor">#REF!</definedName>
    <definedName name="GarantiaOperacao" localSheetId="0">'Formulário Dólar'!#REF!</definedName>
    <definedName name="GarantiaOperacao" localSheetId="1">'Formulário Euro'!#REF!</definedName>
    <definedName name="GarantiaOperacao">#REF!</definedName>
    <definedName name="IndiceNacionalizacao1" localSheetId="0">'Formulário Dólar'!#REF!</definedName>
    <definedName name="IndiceNacionalizacao1" localSheetId="1">'Formulário Euro'!#REF!</definedName>
    <definedName name="IndiceNacionalizacao1">#REF!</definedName>
    <definedName name="IndiceNacionalizacao2" localSheetId="0">'Formulário Dólar'!#REF!</definedName>
    <definedName name="IndiceNacionalizacao2" localSheetId="1">'Formulário Euro'!#REF!</definedName>
    <definedName name="IndiceNacionalizacao2">#REF!</definedName>
    <definedName name="IndiceNacionalizacao3" localSheetId="0">'Formulário Dólar'!#REF!</definedName>
    <definedName name="IndiceNacionalizacao3" localSheetId="1">'Formulário Euro'!#REF!</definedName>
    <definedName name="IndiceNacionalizacao3">#REF!</definedName>
    <definedName name="Juros" localSheetId="0">'Formulário Dólar'!#REF!</definedName>
    <definedName name="Juros" localSheetId="1">'Formulário Euro'!#REF!</definedName>
    <definedName name="Juros">#REF!</definedName>
    <definedName name="Juros1" localSheetId="0">'Formulário Dólar'!#REF!</definedName>
    <definedName name="Juros1" localSheetId="1">'Formulário Euro'!#REF!</definedName>
    <definedName name="Juros1">#REF!</definedName>
    <definedName name="Juros2" localSheetId="0">'Formulário Dólar'!#REF!</definedName>
    <definedName name="Juros2" localSheetId="1">'Formulário Euro'!#REF!</definedName>
    <definedName name="Juros2">#REF!</definedName>
    <definedName name="Juros3" localSheetId="0">'Formulário Dólar'!#REF!</definedName>
    <definedName name="Juros3" localSheetId="1">'Formulário Euro'!#REF!</definedName>
    <definedName name="Juros3">#REF!</definedName>
    <definedName name="Local" localSheetId="0">'Formulário Dólar'!#REF!</definedName>
    <definedName name="Local" localSheetId="1">'Formulário Euro'!#REF!</definedName>
    <definedName name="Local">#REF!</definedName>
    <definedName name="Logradouro" localSheetId="0">'Formulário Dólar'!#REF!</definedName>
    <definedName name="Logradouro" localSheetId="1">'Formulário Euro'!#REF!</definedName>
    <definedName name="Logradouro">#REF!</definedName>
    <definedName name="MandatarioOUAgenteFinanceiro" localSheetId="0">'Formulário Dólar'!#REF!</definedName>
    <definedName name="MandatarioOUAgenteFinanceiro" localSheetId="1">'Formulário Euro'!#REF!</definedName>
    <definedName name="MandatarioOUAgenteFinanceiro" localSheetId="2">'[2]Formulário'!#REF!</definedName>
    <definedName name="MandatarioOUAgenteFinanceiro">#REF!</definedName>
    <definedName name="NBM1" localSheetId="0">'Formulário Dólar'!#REF!</definedName>
    <definedName name="NBM1" localSheetId="1">'Formulário Euro'!#REF!</definedName>
    <definedName name="NBM1">#REF!</definedName>
    <definedName name="NBM2" localSheetId="0">'Formulário Dólar'!$A$39</definedName>
    <definedName name="NBM2" localSheetId="1">'Formulário Euro'!$A$41</definedName>
    <definedName name="NBM2">#REF!</definedName>
    <definedName name="NBM3" localSheetId="0">'Formulário Dólar'!#REF!</definedName>
    <definedName name="NBM3" localSheetId="1">'Formulário Euro'!#REF!</definedName>
    <definedName name="NBM3">#REF!</definedName>
    <definedName name="NumeroProposta" localSheetId="1">'[3]Formulário'!#REF!</definedName>
    <definedName name="NumeroProposta">'[3]Formulário'!#REF!</definedName>
    <definedName name="OLE_LINK1" localSheetId="2">'Instruções'!#REF!</definedName>
    <definedName name="Pais" localSheetId="0">'Formulário Dólar'!#REF!</definedName>
    <definedName name="Pais" localSheetId="1">'Formulário Euro'!#REF!</definedName>
    <definedName name="Pais">#REF!</definedName>
    <definedName name="PercentualBNDES" localSheetId="0">'Formulário Dólar'!#REF!</definedName>
    <definedName name="PercentualBNDES" localSheetId="1">'Formulário Euro'!#REF!</definedName>
    <definedName name="PercentualBNDES" localSheetId="2">'[2]Formulário'!#REF!</definedName>
    <definedName name="PercentualBNDES">#REF!</definedName>
    <definedName name="PercentualOutras" localSheetId="0">'Formulário Dólar'!#REF!</definedName>
    <definedName name="PercentualOutras" localSheetId="1">'Formulário Euro'!#REF!</definedName>
    <definedName name="PercentualOutras">#REF!</definedName>
    <definedName name="PrazoTotal" localSheetId="0">'Formulário Dólar'!#REF!</definedName>
    <definedName name="PrazoTotal" localSheetId="1">'Formulário Euro'!#REF!</definedName>
    <definedName name="PrazoTotal" localSheetId="2">'[2]Formulário'!#REF!</definedName>
    <definedName name="PrazoTotal">#REF!</definedName>
    <definedName name="Proposta" localSheetId="0">'Formulário Dólar'!#REF!</definedName>
    <definedName name="Proposta" localSheetId="1">'Formulário Euro'!#REF!</definedName>
    <definedName name="Proposta">#REF!</definedName>
    <definedName name="Quantidade1" localSheetId="0">'Formulário Dólar'!#REF!</definedName>
    <definedName name="Quantidade1" localSheetId="1">'Formulário Euro'!#REF!</definedName>
    <definedName name="Quantidade1">#REF!</definedName>
    <definedName name="Quantidade2" localSheetId="0">'Formulário Dólar'!#REF!</definedName>
    <definedName name="Quantidade2" localSheetId="1">'Formulário Euro'!#REF!</definedName>
    <definedName name="Quantidade2">#REF!</definedName>
    <definedName name="Quantidade3" localSheetId="0">'Formulário Dólar'!#REF!</definedName>
    <definedName name="Quantidade3" localSheetId="1">'Formulário Euro'!#REF!</definedName>
    <definedName name="Quantidade3">#REF!</definedName>
    <definedName name="RazaoSocial" localSheetId="0">'Formulário Dólar'!#REF!</definedName>
    <definedName name="RazaoSocial" localSheetId="1">'Formulário Euro'!#REF!</definedName>
    <definedName name="RazaoSocial" localSheetId="2">'[2]Formulário'!#REF!</definedName>
    <definedName name="RazaoSocial">#REF!</definedName>
    <definedName name="RazaoSocialExportadora" localSheetId="0">'Formulário Dólar'!#REF!</definedName>
    <definedName name="RazaoSocialExportadora" localSheetId="1">'Formulário Euro'!#REF!</definedName>
    <definedName name="RazaoSocialExportadora">#REF!</definedName>
    <definedName name="RazaoSocialImportadora" localSheetId="0">'Formulário Dólar'!#REF!</definedName>
    <definedName name="RazaoSocialImportadora" localSheetId="1">'Formulário Euro'!#REF!</definedName>
    <definedName name="RazaoSocialImportadora">#REF!</definedName>
    <definedName name="ROB" localSheetId="0">'Formulário Dólar'!#REF!</definedName>
    <definedName name="ROB" localSheetId="1">'Formulário Euro'!#REF!</definedName>
    <definedName name="ROB">#REF!</definedName>
    <definedName name="SetorAtividade" localSheetId="0">'Formulário Dólar'!#REF!</definedName>
    <definedName name="SetorAtividade" localSheetId="1">'Formulário Euro'!#REF!</definedName>
    <definedName name="SetorAtividade">#REF!</definedName>
    <definedName name="SpreadAgente" localSheetId="0">'Formulário Dólar'!#REF!</definedName>
    <definedName name="SpreadAgente" localSheetId="1">'Formulário Euro'!#REF!</definedName>
    <definedName name="SpreadAgente">#REF!</definedName>
    <definedName name="TaxaDolar" localSheetId="0">'Formulário Dólar'!#REF!</definedName>
    <definedName name="TaxaDolar" localSheetId="1">'Formulário Euro'!#REF!</definedName>
    <definedName name="TaxaDolar" localSheetId="2">'[2]Formulário'!#REF!</definedName>
    <definedName name="TaxaDolar">#REF!</definedName>
    <definedName name="Telefone" localSheetId="0">'Formulário Dólar'!#REF!</definedName>
    <definedName name="Telefone" localSheetId="1">'Formulário Euro'!#REF!</definedName>
    <definedName name="Telefone">#REF!</definedName>
    <definedName name="TelefoneFAX" localSheetId="0">'Formulário Dólar'!#REF!</definedName>
    <definedName name="TelefoneFAX" localSheetId="1">'Formulário Euro'!#REF!</definedName>
    <definedName name="TelefoneFAX">#REF!</definedName>
    <definedName name="telefoneFaxImportadora" localSheetId="0">'Formulário Dólar'!#REF!</definedName>
    <definedName name="telefoneFaxImportadora" localSheetId="1">'Formulário Euro'!#REF!</definedName>
    <definedName name="telefoneFaxImportadora">#REF!</definedName>
    <definedName name="Total" localSheetId="0">'Formulário Dólar'!#REF!</definedName>
    <definedName name="Total" localSheetId="1">'Formulário Euro'!#REF!</definedName>
    <definedName name="Total" localSheetId="2">'[2]Formulário'!#REF!</definedName>
    <definedName name="Total">#REF!</definedName>
    <definedName name="TradingOUFabricante" localSheetId="0">'Formulário Dólar'!#REF!</definedName>
    <definedName name="TradingOUFabricante" localSheetId="1">'Formulário Euro'!#REF!</definedName>
    <definedName name="TradingOUFabricante" localSheetId="2">'[2]Formulário'!#REF!</definedName>
    <definedName name="TradingOUFabricante">#REF!</definedName>
    <definedName name="UF" localSheetId="0">'Formulário Dólar'!#REF!</definedName>
    <definedName name="UF" localSheetId="1">'Formulário Euro'!#REF!</definedName>
    <definedName name="UF">#REF!</definedName>
    <definedName name="ValorBNDES" localSheetId="0">'Formulário Dólar'!#REF!</definedName>
    <definedName name="ValorBNDES" localSheetId="1">'Formulário Euro'!#REF!</definedName>
    <definedName name="ValorBNDES" localSheetId="2">'[2]Formulário'!#REF!</definedName>
    <definedName name="ValorBNDES">#REF!</definedName>
    <definedName name="ValorFOB" localSheetId="0">'Formulário Dólar'!#REF!</definedName>
    <definedName name="ValorFOB" localSheetId="1">'Formulário Euro'!#REF!</definedName>
    <definedName name="ValorFOB" localSheetId="2">'[2]Formulário'!#REF!</definedName>
    <definedName name="ValorFOB">#REF!</definedName>
    <definedName name="ValorLiberacao" localSheetId="0">'Formulário Dólar'!#REF!</definedName>
    <definedName name="ValorLiberacao" localSheetId="1">'Formulário Euro'!#REF!</definedName>
    <definedName name="ValorLiberacao">#REF!</definedName>
    <definedName name="ValorOutras" localSheetId="0">'Formulário Dólar'!#REF!</definedName>
    <definedName name="ValorOutras" localSheetId="1">'Formulário Euro'!#REF!</definedName>
    <definedName name="ValorOutras" localSheetId="2">'[2]Formulário'!#REF!</definedName>
    <definedName name="ValorOutras">#REF!</definedName>
    <definedName name="ValorPedido" localSheetId="0">'Formulário Dólar'!#REF!</definedName>
    <definedName name="ValorPedido" localSheetId="1">'Formulário Euro'!#REF!</definedName>
    <definedName name="ValorPedido">#REF!</definedName>
    <definedName name="ValorTotal1" localSheetId="0">'Formulário Dólar'!#REF!</definedName>
    <definedName name="ValorTotal1" localSheetId="1">'Formulário Euro'!#REF!</definedName>
    <definedName name="ValorTotal1">#REF!</definedName>
    <definedName name="ValorTotal2" localSheetId="0">'Formulário Dólar'!#REF!</definedName>
    <definedName name="ValorTotal2" localSheetId="1">'Formulário Euro'!#REF!</definedName>
    <definedName name="ValorTotal2">#REF!</definedName>
    <definedName name="ValorTotal3" localSheetId="0">'Formulário Dólar'!#REF!</definedName>
    <definedName name="ValorTotal3" localSheetId="1">'Formulário Euro'!#REF!</definedName>
    <definedName name="ValorTotal3">#REF!</definedName>
    <definedName name="ValorUnitario1" localSheetId="0">'Formulário Dólar'!#REF!</definedName>
    <definedName name="ValorUnitario1" localSheetId="1">'Formulário Euro'!#REF!</definedName>
    <definedName name="ValorUnitario1" localSheetId="2">'[2]Formulário'!#REF!</definedName>
    <definedName name="ValorUnitario1">#REF!</definedName>
    <definedName name="ValorUnitario2" localSheetId="0">'Formulário Dólar'!#REF!</definedName>
    <definedName name="ValorUnitario2" localSheetId="1">'Formulário Euro'!#REF!</definedName>
    <definedName name="ValorUnitario2" localSheetId="2">'[2]Formulário'!#REF!</definedName>
    <definedName name="ValorUnitario2">#REF!</definedName>
    <definedName name="ValorUnitario3" localSheetId="0">'Formulário Dólar'!#REF!</definedName>
    <definedName name="ValorUnitario3" localSheetId="1">'Formulário Euro'!#REF!</definedName>
    <definedName name="ValorUnitario3" localSheetId="2">'[2]Formulário'!#REF!</definedName>
    <definedName name="ValorUnitario3">#REF!</definedName>
    <definedName name="ValorUnitario4" localSheetId="0">'Formulário Dólar'!#REF!</definedName>
    <definedName name="ValorUnitario4" localSheetId="1">'Formulário Euro'!#REF!</definedName>
    <definedName name="ValorUnitario4" localSheetId="2">'[2]Formulário'!#REF!</definedName>
    <definedName name="ValorUnitario4">#REF!</definedName>
    <definedName name="ValorUnitario5" localSheetId="0">'Formulário Dólar'!#REF!</definedName>
    <definedName name="ValorUnitario5" localSheetId="1">'Formulário Euro'!#REF!</definedName>
    <definedName name="ValorUnitario5" localSheetId="2">'[2]Formulário'!#REF!</definedName>
    <definedName name="ValorUnitario5">#REF!</definedName>
  </definedNames>
  <calcPr fullCalcOnLoad="1"/>
</workbook>
</file>

<file path=xl/sharedStrings.xml><?xml version="1.0" encoding="utf-8"?>
<sst xmlns="http://schemas.openxmlformats.org/spreadsheetml/2006/main" count="398" uniqueCount="193">
  <si>
    <t>Credencial</t>
  </si>
  <si>
    <t>C.N.P.J.</t>
  </si>
  <si>
    <t>Telefone</t>
  </si>
  <si>
    <t>Descrição da(s) Garantia(s)</t>
  </si>
  <si>
    <t>Contato para Correspondência</t>
  </si>
  <si>
    <t>Email</t>
  </si>
  <si>
    <t>Preencher com o CNPJ do Agente Financeiro.</t>
  </si>
  <si>
    <t>CNPJ</t>
  </si>
  <si>
    <t>Preencher com o CNPJ da Beneficiária.</t>
  </si>
  <si>
    <t>Preencher com a credencial do Agente Financeiro no BNDES.</t>
  </si>
  <si>
    <t>Preencher com a remuneração do Agente Financeiro.</t>
  </si>
  <si>
    <t>Custo Financeiro</t>
  </si>
  <si>
    <t>Preencher com uma descrição sucinta das garantias oferecidas na operação.</t>
  </si>
  <si>
    <t>Local e Data</t>
  </si>
  <si>
    <t>INSTRUÇÕES PARA PREENCHIMENTO</t>
  </si>
  <si>
    <t>Nº da Proposta</t>
  </si>
  <si>
    <t>1 - IDENTIFICAÇÃO</t>
  </si>
  <si>
    <t>2 - AGENTE FINANCEIRO</t>
  </si>
  <si>
    <t>3 - BENEFICIÁRIA</t>
  </si>
  <si>
    <t>4 - CONDIÇÕES DE FINANCIAMENTO</t>
  </si>
  <si>
    <t>5 - GARANTIA DA OPERAÇÃO</t>
  </si>
  <si>
    <t>Preencher com o número da proposta da operação do Agente Financeiro.</t>
  </si>
  <si>
    <t>US$</t>
  </si>
  <si>
    <t>%</t>
  </si>
  <si>
    <r>
      <t>(</t>
    </r>
    <r>
      <rPr>
        <sz val="14"/>
        <rFont val="Tahoma"/>
        <family val="2"/>
      </rPr>
      <t xml:space="preserve">Exportação em </t>
    </r>
    <r>
      <rPr>
        <b/>
        <sz val="14"/>
        <rFont val="Tahoma"/>
        <family val="2"/>
      </rPr>
      <t>DÓLAR)</t>
    </r>
  </si>
  <si>
    <t>PROTOCOLO</t>
  </si>
  <si>
    <t>Remun. BNDES</t>
  </si>
  <si>
    <t>Remuneração do BNDES (% a.a.)</t>
  </si>
  <si>
    <t>Empregos Diretos Gerados</t>
  </si>
  <si>
    <t>Número de Empregados</t>
  </si>
  <si>
    <t>Preencher com o número de empregados da Beneficiária na data da contratação da operação.</t>
  </si>
  <si>
    <t>Preencher com a previsão do número de empregos diretos gerados após o financiamento, quando aplicável.</t>
  </si>
  <si>
    <t>Remuneração do Agente Financeiro (% a.a.)</t>
  </si>
  <si>
    <t>Denominação Social</t>
  </si>
  <si>
    <t xml:space="preserve"> Área de atuação</t>
  </si>
  <si>
    <t>TJFPE</t>
  </si>
  <si>
    <t xml:space="preserve"> </t>
  </si>
  <si>
    <t>Valor do Financiamento</t>
  </si>
  <si>
    <t>Valor do grupo:</t>
  </si>
  <si>
    <t>TJLP</t>
  </si>
  <si>
    <t>---</t>
  </si>
  <si>
    <t>Preencher com a denominação social do Agente Financeiro.</t>
  </si>
  <si>
    <t>Preencher com o nome do contato para correspondência do Agente Financeiro.</t>
  </si>
  <si>
    <t>Preencher com o telefone do contato para correspondência do Agente Financeiro.</t>
  </si>
  <si>
    <t>Preencher com a denominação social da Beneficiária.</t>
  </si>
  <si>
    <t xml:space="preserve">  Valor do Compromisso (US$/€)</t>
  </si>
  <si>
    <t>Área de Atuação (Grupo)</t>
  </si>
  <si>
    <t>Indexador(es)</t>
  </si>
  <si>
    <t>Parcela única</t>
  </si>
  <si>
    <t>Prazo de</t>
  </si>
  <si>
    <t xml:space="preserve">Financiamento </t>
  </si>
  <si>
    <t>Valor do Compromisso</t>
  </si>
  <si>
    <t xml:space="preserve">Percentual  de Custo Financeiro e Indexador </t>
  </si>
  <si>
    <t>Data da Contratação</t>
  </si>
  <si>
    <t>Dólar Venda</t>
  </si>
  <si>
    <t>Data Limite Embarque</t>
  </si>
  <si>
    <t>Data Primeira Amortização</t>
  </si>
  <si>
    <t>Data Última Amortização</t>
  </si>
  <si>
    <t>% Risco Assumido pelo FGI</t>
  </si>
  <si>
    <t>Classificação de Risco da Operação (FGI)</t>
  </si>
  <si>
    <t xml:space="preserve">Remun. Agente </t>
  </si>
  <si>
    <t>6 - LIBERAÇÃO</t>
  </si>
  <si>
    <t>R$</t>
  </si>
  <si>
    <t xml:space="preserve">VALOR DO PEDIDO </t>
  </si>
  <si>
    <t>7- TERMO DE RESPONSABILIDADE</t>
  </si>
  <si>
    <t xml:space="preserve">Local </t>
  </si>
  <si>
    <t>Data</t>
  </si>
  <si>
    <t>Agente Financeiro</t>
  </si>
  <si>
    <t>Carimbo(s)      e    Assinatura(s)</t>
  </si>
  <si>
    <t>Embarque</t>
  </si>
  <si>
    <t>Contato para correspondência</t>
  </si>
  <si>
    <t xml:space="preserve">3 - BENEFICIÁRIA FINAL </t>
  </si>
  <si>
    <t>Valor do Subcrédito em moeda de referência</t>
  </si>
  <si>
    <t>% do Custo Financeiro</t>
  </si>
  <si>
    <t>Valor do Subcrédito em Reais</t>
  </si>
  <si>
    <t>Prazo embarque</t>
  </si>
  <si>
    <t>combo embarque</t>
  </si>
  <si>
    <t>prazo amort</t>
  </si>
  <si>
    <t>combo prazo financ</t>
  </si>
  <si>
    <t>prazo financ</t>
  </si>
  <si>
    <t>€</t>
  </si>
  <si>
    <t>Ficha Resumo de Operação - FRO PL</t>
  </si>
  <si>
    <t>Preencher com o email do contato para correspondência do Agente Financeiro.</t>
  </si>
  <si>
    <t>Valor do Financiamento (US$/€)</t>
  </si>
  <si>
    <t>Preencher com o valor do financiamento.</t>
  </si>
  <si>
    <t>Preencher com o valor representativo do montante total da obrigação de exportação da Beneficiária.</t>
  </si>
  <si>
    <t>Dólar Venda / Euro Venda</t>
  </si>
  <si>
    <t xml:space="preserve">   Prazo de Financiamento (meses) </t>
  </si>
  <si>
    <t>Selecionar o prazo de financiamento.</t>
  </si>
  <si>
    <t>Selecionar um ou mais indexadores que irão compor a taxa de juros da operação.</t>
  </si>
  <si>
    <t>Percentual do Custo Financeiro</t>
  </si>
  <si>
    <t>Informar o percentual do custo aplicável ao respectivo indexador.</t>
  </si>
  <si>
    <t>Campo calculado automaticamente.</t>
  </si>
  <si>
    <t>Campos calculados automaticamente.</t>
  </si>
  <si>
    <t>Preencher com a remuneração do BNDES aplicável à operação.</t>
  </si>
  <si>
    <t>Cobertura FGI</t>
  </si>
  <si>
    <t>Selecionar se existe ou não cobertura do FGI.</t>
  </si>
  <si>
    <t>Obs.: Nas operações com cobertura do FGI, deverá ser preenchido adicionalmente o formulário Informações Complementares</t>
  </si>
  <si>
    <t xml:space="preserve">Beneficiária Final </t>
  </si>
  <si>
    <t>Carimbo e Assinatura do Agente Financeiro / Beneficiária Final</t>
  </si>
  <si>
    <t>Preencher com a assinatura e o carimbo do representante do Agente Financeiro e da Beneficiária Final.</t>
  </si>
  <si>
    <t xml:space="preserve">Prazo de Embarque (meses) </t>
  </si>
  <si>
    <t>A Beneficiária Final e o Agente Financeiro declaram que foi concedida autorização ao Banco Nacional de Desenvolvimento Econômico e Social - BNDES para que realize consultas às bases de dados e informações, sob a administração da Secretaria da Receita Federal, relativas às suas operações de comércio exterior, protegidas pelo sigilo fiscal e disponíveis no Sistema de Análise das Informações de Comércio Exterior via Internet, ALICE-Web, da Secretaria de Comércio Exterior (SECEX), do Ministério do Desenvolvimento, Indústria e Comércio Exterior.</t>
  </si>
  <si>
    <t>Preencher com o local e a data da assinatura do Agente Financeiro e da Beneficiária Final.</t>
  </si>
  <si>
    <t>Micro</t>
  </si>
  <si>
    <t>Pequena</t>
  </si>
  <si>
    <t>Média</t>
  </si>
  <si>
    <t>Grande</t>
  </si>
  <si>
    <t>Porte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</si>
  <si>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</si>
  <si>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</si>
  <si>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</si>
  <si>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</si>
  <si>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</si>
  <si>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</si>
  <si>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</si>
  <si>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</si>
  <si>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</si>
  <si>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</si>
  <si>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</si>
  <si>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</si>
  <si>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</si>
  <si>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</si>
  <si>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</si>
  <si>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</si>
  <si>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r>
      <t>(</t>
    </r>
    <r>
      <rPr>
        <sz val="14"/>
        <rFont val="Tahoma"/>
        <family val="2"/>
      </rPr>
      <t xml:space="preserve">Exportação em </t>
    </r>
    <r>
      <rPr>
        <b/>
        <sz val="14"/>
        <rFont val="Tahoma"/>
        <family val="2"/>
      </rPr>
      <t>EURO)</t>
    </r>
  </si>
  <si>
    <t xml:space="preserve">O Agente Financeiro e a Beneficiária acima qualificados declaram que aceitam as Normas Operacionais da Linha de Financiamento BNDES Exim Pré-embarque, que utilizaram o modelo de Contrato de Financiamento anexo a essas Normas e que foram incluídas no preâmbulo deste Contrato as condições da operação acima especificadas, as quais também declaram aceitar. 
</t>
  </si>
  <si>
    <t>Preencher com a taxa de venda do US$/€ (SISBACEN) do útil imediatamente anterior à data da contratação.</t>
  </si>
  <si>
    <t>de Produtos Financiáveis aplicável às Linhas de Financiamento Exim Pré-embarque.</t>
  </si>
  <si>
    <t>Data Limite Embarque / Data Primeira Amortização / Data Última Amortização</t>
  </si>
  <si>
    <t>Preencher com o percentual do risco coberto pelo FGI, quando aplicável.</t>
  </si>
  <si>
    <t>7 - TERMO DE RESPONSABILIDADE</t>
  </si>
  <si>
    <t>Selecionar a classificação de risco da operação, sem considerar a garantia potencial a ser oferecida pelo FGI para a avaliação referida, conforme previsto na regulamentação do FGI.</t>
  </si>
  <si>
    <t>Porte:</t>
  </si>
  <si>
    <t>Indexador 1</t>
  </si>
  <si>
    <t>Indexador 2</t>
  </si>
  <si>
    <t>Verifica e define
data, a partir do
cálculo do dia 15</t>
  </si>
  <si>
    <t>19 meses</t>
  </si>
  <si>
    <t>20 meses</t>
  </si>
  <si>
    <t>21 meses</t>
  </si>
  <si>
    <t>22 meses</t>
  </si>
  <si>
    <t>23 meses</t>
  </si>
  <si>
    <t>24 meses</t>
  </si>
  <si>
    <t>36 meses</t>
  </si>
  <si>
    <t>Área de Atuação</t>
  </si>
  <si>
    <t>Euro Venda</t>
  </si>
  <si>
    <t xml:space="preserve">     VALOR DO PEDIDO </t>
  </si>
  <si>
    <t>N° de</t>
  </si>
  <si>
    <t>Parcelas</t>
  </si>
  <si>
    <t>Para o formulário em Euro, o Valor do Compromisso em Dólar é calculado automaticamente.</t>
  </si>
  <si>
    <t>Para o formulário em Euro, o Valor do Financiamento em Dólar é calculado automaticamente.</t>
  </si>
  <si>
    <t xml:space="preserve">   N° de Parcelas</t>
  </si>
  <si>
    <t>Selecionar o n° de parcelas da amortização.</t>
  </si>
  <si>
    <t>SELIC</t>
  </si>
  <si>
    <t>Último dia do mês</t>
  </si>
  <si>
    <t>Mês Embarque</t>
  </si>
  <si>
    <t>Último dia</t>
  </si>
  <si>
    <t>Operações Garantidas pelo FGI (Anexo 9).</t>
  </si>
  <si>
    <t xml:space="preserve">Selecionar a Área de Atuação (Subgrupo IA, Grupo I, Grupo II, Grupo III ou Automóveis de Passeio) conforme Relação </t>
  </si>
  <si>
    <t>LIBOR</t>
  </si>
  <si>
    <t>25 meses</t>
  </si>
  <si>
    <t>26 meses</t>
  </si>
  <si>
    <t>27 meses</t>
  </si>
  <si>
    <t>28 meses</t>
  </si>
  <si>
    <t>29 meses</t>
  </si>
  <si>
    <t>30 meses</t>
  </si>
  <si>
    <t>Verifica LIBOR</t>
  </si>
  <si>
    <t>Valor atual</t>
  </si>
  <si>
    <t>%Máx G II</t>
  </si>
  <si>
    <t>Verifica TJFPE</t>
  </si>
  <si>
    <t>Verifica SELIC</t>
  </si>
  <si>
    <t>Teste</t>
  </si>
  <si>
    <t>Condição</t>
  </si>
  <si>
    <t>% Max Fin</t>
  </si>
  <si>
    <t>MPME</t>
  </si>
  <si>
    <t>G II</t>
  </si>
  <si>
    <t>IA</t>
  </si>
  <si>
    <t>G I</t>
  </si>
  <si>
    <t>Teste de 100%</t>
  </si>
  <si>
    <t>BNDES Exim Pré-embarque Empresa Âncora</t>
  </si>
  <si>
    <t>Anexo 2</t>
  </si>
  <si>
    <r>
      <t xml:space="preserve">Classificação: </t>
    </r>
    <r>
      <rPr>
        <sz val="8"/>
        <color indexed="8"/>
        <rFont val="Arial"/>
        <family val="2"/>
      </rPr>
      <t>Documento Controlado – Sigilo Empresarial</t>
    </r>
  </si>
  <si>
    <r>
      <t xml:space="preserve">Restrição de acesso: </t>
    </r>
    <r>
      <rPr>
        <sz val="8"/>
        <color indexed="8"/>
        <rFont val="Arial"/>
        <family val="2"/>
      </rPr>
      <t>Sistema BNDES e Demais Partes da Operação</t>
    </r>
  </si>
  <si>
    <r>
      <t xml:space="preserve">Unidade gestora: </t>
    </r>
    <r>
      <rPr>
        <sz val="8"/>
        <color indexed="8"/>
        <rFont val="Arial"/>
        <family val="2"/>
      </rPr>
      <t>AEX</t>
    </r>
  </si>
  <si>
    <t>31 meses</t>
  </si>
  <si>
    <t>32 meses</t>
  </si>
  <si>
    <t>33 meses</t>
  </si>
  <si>
    <t>34 meses</t>
  </si>
  <si>
    <t>35 meses</t>
  </si>
  <si>
    <t>(preencher Anexo 8)</t>
  </si>
  <si>
    <t>Verifica TLP</t>
  </si>
  <si>
    <t>TLP</t>
  </si>
  <si>
    <t>Versão 05/01/2018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</si>
</sst>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"/>
    <numFmt numFmtId="175" formatCode="00&quot;.&quot;000&quot;.&quot;000&quot;/&quot;0000\-00"/>
    <numFmt numFmtId="176" formatCode="000\-0"/>
    <numFmt numFmtId="177" formatCode="0000&quot;.&quot;00&quot;.&quot;00"/>
    <numFmt numFmtId="178" formatCode="_(* #,##0.0000_);_(* \(#,##0.0000\);_(* &quot;-&quot;????_);_(@_)"/>
    <numFmt numFmtId="179" formatCode="_([$€]* #,##0.00_);_([$€]* \(#,##0.00\);_([$€]* &quot;-&quot;??_);_(@_)"/>
    <numFmt numFmtId="180" formatCode="_(* #,##0.0_);_(* \(#,##0.0\);_(* &quot;-&quot;??_);_(@_)"/>
    <numFmt numFmtId="181" formatCode="#\ &quot; meses&quot;"/>
  </numFmts>
  <fonts count="65">
    <font>
      <sz val="8"/>
      <name val="Verdana"/>
      <family val="0"/>
    </font>
    <font>
      <sz val="8"/>
      <name val="Tahoma"/>
      <family val="2"/>
    </font>
    <font>
      <sz val="10"/>
      <name val="Arial"/>
      <family val="2"/>
    </font>
    <font>
      <u val="single"/>
      <sz val="6"/>
      <color indexed="12"/>
      <name val="Verdana"/>
      <family val="2"/>
    </font>
    <font>
      <u val="single"/>
      <sz val="6"/>
      <color indexed="36"/>
      <name val="Verdan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9"/>
      <color indexed="9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12"/>
      <color indexed="10"/>
      <name val="Tahoma"/>
      <family val="2"/>
    </font>
    <font>
      <b/>
      <sz val="20"/>
      <color indexed="22"/>
      <name val="Tahoma"/>
      <family val="2"/>
    </font>
    <font>
      <sz val="8"/>
      <color indexed="9"/>
      <name val="Tahoma"/>
      <family val="2"/>
    </font>
    <font>
      <sz val="8"/>
      <color indexed="9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8"/>
      <color indexed="10"/>
      <name val="Verdana"/>
      <family val="2"/>
    </font>
    <font>
      <sz val="10"/>
      <color indexed="10"/>
      <name val="Tahoma"/>
      <family val="2"/>
    </font>
    <font>
      <b/>
      <u val="single"/>
      <sz val="10"/>
      <name val="Tahoma"/>
      <family val="2"/>
    </font>
    <font>
      <sz val="8"/>
      <color indexed="63"/>
      <name val="Tahoma"/>
      <family val="2"/>
    </font>
    <font>
      <sz val="8"/>
      <color indexed="63"/>
      <name val="Verdana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22"/>
        <bgColor indexed="22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55"/>
        <bgColor indexed="9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left" inden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54" applyFont="1" applyFill="1">
      <alignment/>
      <protection/>
    </xf>
    <xf numFmtId="0" fontId="6" fillId="0" borderId="0" xfId="54" applyFont="1" applyFill="1" applyAlignment="1">
      <alignment horizontal="left" indent="1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175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vertical="justify" wrapText="1"/>
      <protection/>
    </xf>
    <xf numFmtId="49" fontId="14" fillId="0" borderId="0" xfId="0" applyNumberFormat="1" applyFont="1" applyFill="1" applyBorder="1" applyAlignment="1" applyProtection="1">
      <alignment vertical="justify" wrapText="1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1" fillId="0" borderId="0" xfId="53" applyNumberFormat="1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10" xfId="53" applyNumberFormat="1" applyFont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/>
      <protection/>
    </xf>
    <xf numFmtId="4" fontId="1" fillId="0" borderId="0" xfId="53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vertical="justify" wrapText="1"/>
      <protection/>
    </xf>
    <xf numFmtId="49" fontId="15" fillId="0" borderId="0" xfId="0" applyNumberFormat="1" applyFont="1" applyAlignment="1" applyProtection="1">
      <alignment horizontal="center" vertical="top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/>
      <protection hidden="1"/>
    </xf>
    <xf numFmtId="4" fontId="1" fillId="0" borderId="13" xfId="53" applyNumberFormat="1" applyFont="1" applyBorder="1" applyAlignment="1" applyProtection="1">
      <alignment vertical="center"/>
      <protection/>
    </xf>
    <xf numFmtId="4" fontId="1" fillId="0" borderId="12" xfId="53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9" fontId="22" fillId="0" borderId="0" xfId="56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6" fillId="0" borderId="0" xfId="54" applyFont="1" applyFill="1" applyAlignment="1">
      <alignment horizontal="left"/>
      <protection/>
    </xf>
    <xf numFmtId="0" fontId="23" fillId="0" borderId="0" xfId="54" applyFont="1" applyFill="1">
      <alignment/>
      <protection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14" fontId="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175" fontId="7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53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" fontId="7" fillId="0" borderId="0" xfId="53" applyNumberFormat="1" applyFont="1" applyFill="1" applyBorder="1" applyAlignment="1" applyProtection="1">
      <alignment vertical="center"/>
      <protection/>
    </xf>
    <xf numFmtId="0" fontId="22" fillId="0" borderId="0" xfId="67" applyNumberFormat="1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Alignment="1">
      <alignment horizontal="left" wrapText="1" inden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textRotation="90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14" fontId="7" fillId="32" borderId="0" xfId="53" applyNumberFormat="1" applyFont="1" applyFill="1" applyBorder="1" applyAlignment="1" applyProtection="1">
      <alignment vertical="center"/>
      <protection/>
    </xf>
    <xf numFmtId="14" fontId="7" fillId="32" borderId="15" xfId="53" applyNumberFormat="1" applyFont="1" applyFill="1" applyBorder="1" applyAlignment="1" applyProtection="1">
      <alignment vertical="center"/>
      <protection/>
    </xf>
    <xf numFmtId="14" fontId="7" fillId="32" borderId="16" xfId="53" applyNumberFormat="1" applyFont="1" applyFill="1" applyBorder="1" applyAlignment="1" applyProtection="1">
      <alignment vertical="center"/>
      <protection/>
    </xf>
    <xf numFmtId="14" fontId="7" fillId="32" borderId="17" xfId="53" applyNumberFormat="1" applyFont="1" applyFill="1" applyBorder="1" applyAlignment="1" applyProtection="1">
      <alignment vertical="center"/>
      <protection/>
    </xf>
    <xf numFmtId="14" fontId="1" fillId="32" borderId="18" xfId="53" applyNumberFormat="1" applyFont="1" applyFill="1" applyBorder="1" applyAlignment="1" applyProtection="1">
      <alignment vertical="center"/>
      <protection hidden="1"/>
    </xf>
    <xf numFmtId="14" fontId="1" fillId="32" borderId="11" xfId="53" applyNumberFormat="1" applyFont="1" applyFill="1" applyBorder="1" applyAlignment="1" applyProtection="1">
      <alignment vertical="center"/>
      <protection hidden="1"/>
    </xf>
    <xf numFmtId="14" fontId="1" fillId="32" borderId="19" xfId="53" applyNumberFormat="1" applyFont="1" applyFill="1" applyBorder="1" applyAlignment="1" applyProtection="1">
      <alignment vertical="center"/>
      <protection hidden="1"/>
    </xf>
    <xf numFmtId="0" fontId="1" fillId="32" borderId="10" xfId="0" applyFont="1" applyFill="1" applyBorder="1" applyAlignment="1" applyProtection="1">
      <alignment/>
      <protection hidden="1"/>
    </xf>
    <xf numFmtId="0" fontId="1" fillId="32" borderId="0" xfId="0" applyFont="1" applyFill="1" applyBorder="1" applyAlignment="1" applyProtection="1">
      <alignment/>
      <protection hidden="1"/>
    </xf>
    <xf numFmtId="0" fontId="1" fillId="32" borderId="14" xfId="0" applyFont="1" applyFill="1" applyBorder="1" applyAlignment="1" applyProtection="1">
      <alignment/>
      <protection hidden="1"/>
    </xf>
    <xf numFmtId="0" fontId="1" fillId="32" borderId="13" xfId="0" applyFon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/>
      <protection hidden="1"/>
    </xf>
    <xf numFmtId="0" fontId="1" fillId="32" borderId="2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11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3" fontId="1" fillId="0" borderId="0" xfId="53" applyNumberFormat="1" applyFont="1" applyBorder="1" applyAlignment="1" applyProtection="1">
      <alignment horizontal="left" vertical="center"/>
      <protection/>
    </xf>
    <xf numFmtId="3" fontId="1" fillId="0" borderId="21" xfId="53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/>
      <protection hidden="1" locked="0"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vertical="center" textRotation="90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 applyProtection="1">
      <alignment vertical="center" textRotation="180" wrapText="1"/>
      <protection locked="0"/>
    </xf>
    <xf numFmtId="0" fontId="1" fillId="0" borderId="0" xfId="0" applyFont="1" applyFill="1" applyBorder="1" applyAlignment="1" applyProtection="1">
      <alignment vertical="center" textRotation="180" wrapText="1"/>
      <protection locked="0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32" borderId="0" xfId="0" applyFont="1" applyFill="1" applyBorder="1" applyAlignment="1" applyProtection="1">
      <alignment vertical="center" textRotation="180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0" fillId="32" borderId="0" xfId="0" applyFont="1" applyFill="1" applyBorder="1" applyAlignment="1">
      <alignment horizontal="center" vertical="center"/>
    </xf>
    <xf numFmtId="0" fontId="1" fillId="32" borderId="22" xfId="0" applyFont="1" applyFill="1" applyBorder="1" applyAlignment="1" applyProtection="1">
      <alignment horizontal="center" vertical="center" wrapText="1"/>
      <protection locked="0"/>
    </xf>
    <xf numFmtId="0" fontId="1" fillId="32" borderId="2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25" fillId="35" borderId="24" xfId="0" applyFont="1" applyFill="1" applyBorder="1" applyAlignment="1" applyProtection="1">
      <alignment horizontal="center"/>
      <protection hidden="1" locked="0"/>
    </xf>
    <xf numFmtId="0" fontId="25" fillId="35" borderId="25" xfId="0" applyFont="1" applyFill="1" applyBorder="1" applyAlignment="1" applyProtection="1">
      <alignment horizontal="center"/>
      <protection hidden="1" locked="0"/>
    </xf>
    <xf numFmtId="0" fontId="0" fillId="36" borderId="0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 hidden="1" locked="0"/>
    </xf>
    <xf numFmtId="0" fontId="26" fillId="32" borderId="0" xfId="0" applyFont="1" applyFill="1" applyBorder="1" applyAlignment="1" applyProtection="1" quotePrefix="1">
      <alignment horizontal="center"/>
      <protection hidden="1" locked="0"/>
    </xf>
    <xf numFmtId="0" fontId="26" fillId="32" borderId="0" xfId="0" applyFont="1" applyFill="1" applyBorder="1" applyAlignment="1" applyProtection="1">
      <alignment horizontal="center"/>
      <protection hidden="1" locked="0"/>
    </xf>
    <xf numFmtId="0" fontId="0" fillId="37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/>
    </xf>
    <xf numFmtId="0" fontId="1" fillId="0" borderId="26" xfId="0" applyFont="1" applyFill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quotePrefix="1">
      <alignment horizontal="center" vertical="center"/>
    </xf>
    <xf numFmtId="0" fontId="25" fillId="0" borderId="31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24" fillId="38" borderId="0" xfId="0" applyFont="1" applyFill="1" applyBorder="1" applyAlignment="1" applyProtection="1">
      <alignment horizontal="center" vertical="center" wrapText="1"/>
      <protection locked="0"/>
    </xf>
    <xf numFmtId="14" fontId="7" fillId="0" borderId="32" xfId="53" applyNumberFormat="1" applyFont="1" applyFill="1" applyBorder="1" applyAlignment="1" applyProtection="1">
      <alignment horizontal="center" vertical="center"/>
      <protection/>
    </xf>
    <xf numFmtId="14" fontId="7" fillId="0" borderId="16" xfId="53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Alignment="1" applyProtection="1">
      <alignment horizontal="center" vertical="top"/>
      <protection/>
    </xf>
    <xf numFmtId="0" fontId="64" fillId="0" borderId="33" xfId="0" applyFont="1" applyBorder="1" applyAlignment="1">
      <alignment horizontal="left" vertical="center" wrapText="1"/>
    </xf>
    <xf numFmtId="0" fontId="64" fillId="0" borderId="34" xfId="0" applyFont="1" applyBorder="1" applyAlignment="1">
      <alignment horizontal="left" vertical="center" wrapText="1"/>
    </xf>
    <xf numFmtId="0" fontId="64" fillId="0" borderId="35" xfId="0" applyFont="1" applyBorder="1" applyAlignment="1">
      <alignment horizontal="left" vertical="center" wrapText="1"/>
    </xf>
    <xf numFmtId="49" fontId="5" fillId="0" borderId="0" xfId="0" applyNumberFormat="1" applyFont="1" applyAlignment="1" applyProtection="1">
      <alignment horizontal="left" vertical="center"/>
      <protection/>
    </xf>
    <xf numFmtId="0" fontId="9" fillId="39" borderId="29" xfId="0" applyFont="1" applyFill="1" applyBorder="1" applyAlignment="1" applyProtection="1">
      <alignment horizontal="left" vertical="center"/>
      <protection/>
    </xf>
    <xf numFmtId="0" fontId="9" fillId="39" borderId="21" xfId="0" applyFont="1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 horizontal="left"/>
      <protection/>
    </xf>
    <xf numFmtId="171" fontId="7" fillId="0" borderId="16" xfId="67" applyFont="1" applyBorder="1" applyAlignment="1" applyProtection="1">
      <alignment horizontal="center"/>
      <protection locked="0"/>
    </xf>
    <xf numFmtId="171" fontId="7" fillId="0" borderId="17" xfId="67" applyFont="1" applyBorder="1" applyAlignment="1" applyProtection="1">
      <alignment horizontal="center"/>
      <protection locked="0"/>
    </xf>
    <xf numFmtId="0" fontId="9" fillId="39" borderId="36" xfId="0" applyFont="1" applyFill="1" applyBorder="1" applyAlignment="1" applyProtection="1">
      <alignment horizontal="left" vertical="center"/>
      <protection/>
    </xf>
    <xf numFmtId="0" fontId="9" fillId="39" borderId="37" xfId="0" applyFont="1" applyFill="1" applyBorder="1" applyAlignment="1" applyProtection="1">
      <alignment horizontal="left" vertical="center"/>
      <protection/>
    </xf>
    <xf numFmtId="0" fontId="9" fillId="39" borderId="38" xfId="0" applyFont="1" applyFill="1" applyBorder="1" applyAlignment="1" applyProtection="1">
      <alignment horizontal="left" vertical="center"/>
      <protection/>
    </xf>
    <xf numFmtId="3" fontId="7" fillId="0" borderId="32" xfId="53" applyNumberFormat="1" applyFont="1" applyBorder="1" applyAlignment="1" applyProtection="1">
      <alignment horizontal="center" vertical="center"/>
      <protection locked="0"/>
    </xf>
    <xf numFmtId="3" fontId="7" fillId="0" borderId="16" xfId="53" applyNumberFormat="1" applyFont="1" applyBorder="1" applyAlignment="1" applyProtection="1">
      <alignment horizontal="center" vertical="center"/>
      <protection locked="0"/>
    </xf>
    <xf numFmtId="3" fontId="7" fillId="0" borderId="17" xfId="53" applyNumberFormat="1" applyFont="1" applyBorder="1" applyAlignment="1" applyProtection="1">
      <alignment horizontal="center" vertical="center"/>
      <protection locked="0"/>
    </xf>
    <xf numFmtId="3" fontId="1" fillId="0" borderId="18" xfId="53" applyNumberFormat="1" applyFont="1" applyBorder="1" applyAlignment="1" applyProtection="1">
      <alignment horizontal="left" vertical="center"/>
      <protection/>
    </xf>
    <xf numFmtId="3" fontId="1" fillId="0" borderId="11" xfId="53" applyNumberFormat="1" applyFont="1" applyBorder="1" applyAlignment="1" applyProtection="1">
      <alignment horizontal="left" vertical="center"/>
      <protection/>
    </xf>
    <xf numFmtId="3" fontId="1" fillId="0" borderId="39" xfId="53" applyNumberFormat="1" applyFont="1" applyBorder="1" applyAlignment="1" applyProtection="1">
      <alignment horizontal="left" vertical="center"/>
      <protection/>
    </xf>
    <xf numFmtId="177" fontId="1" fillId="0" borderId="40" xfId="53" applyNumberFormat="1" applyFont="1" applyBorder="1" applyAlignment="1" applyProtection="1">
      <alignment horizontal="left" vertical="center"/>
      <protection/>
    </xf>
    <xf numFmtId="177" fontId="1" fillId="0" borderId="21" xfId="53" applyNumberFormat="1" applyFont="1" applyBorder="1" applyAlignment="1" applyProtection="1">
      <alignment horizontal="left" vertical="center"/>
      <protection/>
    </xf>
    <xf numFmtId="177" fontId="1" fillId="0" borderId="30" xfId="53" applyNumberFormat="1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4" fontId="7" fillId="32" borderId="0" xfId="53" applyNumberFormat="1" applyFont="1" applyFill="1" applyBorder="1" applyAlignment="1" applyProtection="1">
      <alignment horizontal="center" vertical="center"/>
      <protection/>
    </xf>
    <xf numFmtId="14" fontId="7" fillId="32" borderId="16" xfId="53" applyNumberFormat="1" applyFont="1" applyFill="1" applyBorder="1" applyAlignment="1" applyProtection="1">
      <alignment horizontal="center" vertical="center"/>
      <protection/>
    </xf>
    <xf numFmtId="4" fontId="1" fillId="40" borderId="41" xfId="53" applyNumberFormat="1" applyFont="1" applyFill="1" applyBorder="1" applyAlignment="1" applyProtection="1">
      <alignment horizontal="left" vertical="top"/>
      <protection hidden="1"/>
    </xf>
    <xf numFmtId="4" fontId="1" fillId="40" borderId="16" xfId="53" applyNumberFormat="1" applyFont="1" applyFill="1" applyBorder="1" applyAlignment="1" applyProtection="1">
      <alignment horizontal="left" vertical="top"/>
      <protection hidden="1"/>
    </xf>
    <xf numFmtId="4" fontId="1" fillId="40" borderId="17" xfId="53" applyNumberFormat="1" applyFont="1" applyFill="1" applyBorder="1" applyAlignment="1" applyProtection="1">
      <alignment horizontal="left" vertical="top"/>
      <protection hidden="1"/>
    </xf>
    <xf numFmtId="4" fontId="13" fillId="0" borderId="11" xfId="0" applyNumberFormat="1" applyFont="1" applyBorder="1" applyAlignment="1" applyProtection="1">
      <alignment horizontal="center" vertical="center"/>
      <protection hidden="1"/>
    </xf>
    <xf numFmtId="4" fontId="13" fillId="0" borderId="39" xfId="0" applyNumberFormat="1" applyFont="1" applyBorder="1" applyAlignment="1" applyProtection="1">
      <alignment horizontal="center" vertical="center"/>
      <protection hidden="1"/>
    </xf>
    <xf numFmtId="4" fontId="13" fillId="0" borderId="0" xfId="0" applyNumberFormat="1" applyFont="1" applyBorder="1" applyAlignment="1" applyProtection="1">
      <alignment horizontal="center" vertical="center"/>
      <protection hidden="1"/>
    </xf>
    <xf numFmtId="4" fontId="13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3" fontId="7" fillId="0" borderId="41" xfId="53" applyNumberFormat="1" applyFont="1" applyBorder="1" applyAlignment="1" applyProtection="1">
      <alignment horizontal="center" vertical="center"/>
      <protection locked="0"/>
    </xf>
    <xf numFmtId="0" fontId="7" fillId="0" borderId="41" xfId="53" applyFont="1" applyBorder="1" applyAlignment="1" applyProtection="1">
      <alignment horizontal="center" vertical="center"/>
      <protection locked="0"/>
    </xf>
    <xf numFmtId="0" fontId="7" fillId="0" borderId="16" xfId="53" applyFont="1" applyBorder="1" applyAlignment="1" applyProtection="1">
      <alignment horizontal="center" vertical="center"/>
      <protection locked="0"/>
    </xf>
    <xf numFmtId="0" fontId="9" fillId="39" borderId="30" xfId="0" applyFont="1" applyFill="1" applyBorder="1" applyAlignment="1" applyProtection="1">
      <alignment horizontal="left" vertical="center"/>
      <protection/>
    </xf>
    <xf numFmtId="4" fontId="13" fillId="0" borderId="11" xfId="0" applyNumberFormat="1" applyFont="1" applyBorder="1" applyAlignment="1" applyProtection="1">
      <alignment horizontal="center" vertical="center"/>
      <protection/>
    </xf>
    <xf numFmtId="4" fontId="13" fillId="0" borderId="19" xfId="0" applyNumberFormat="1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 horizontal="center" vertical="center"/>
      <protection/>
    </xf>
    <xf numFmtId="4" fontId="13" fillId="0" borderId="15" xfId="0" applyNumberFormat="1" applyFont="1" applyBorder="1" applyAlignment="1" applyProtection="1">
      <alignment horizontal="center" vertical="center"/>
      <protection/>
    </xf>
    <xf numFmtId="14" fontId="7" fillId="41" borderId="33" xfId="0" applyNumberFormat="1" applyFont="1" applyFill="1" applyBorder="1" applyAlignment="1" applyProtection="1">
      <alignment horizontal="center"/>
      <protection hidden="1"/>
    </xf>
    <xf numFmtId="14" fontId="7" fillId="41" borderId="34" xfId="0" applyNumberFormat="1" applyFont="1" applyFill="1" applyBorder="1" applyAlignment="1" applyProtection="1">
      <alignment horizontal="center"/>
      <protection hidden="1"/>
    </xf>
    <xf numFmtId="14" fontId="7" fillId="41" borderId="43" xfId="0" applyNumberFormat="1" applyFont="1" applyFill="1" applyBorder="1" applyAlignment="1" applyProtection="1">
      <alignment horizontal="center"/>
      <protection hidden="1"/>
    </xf>
    <xf numFmtId="4" fontId="1" fillId="42" borderId="18" xfId="0" applyNumberFormat="1" applyFont="1" applyFill="1" applyBorder="1" applyAlignment="1" applyProtection="1">
      <alignment horizontal="center" vertical="center" wrapText="1"/>
      <protection/>
    </xf>
    <xf numFmtId="4" fontId="1" fillId="42" borderId="11" xfId="0" applyNumberFormat="1" applyFont="1" applyFill="1" applyBorder="1" applyAlignment="1" applyProtection="1">
      <alignment horizontal="center" vertical="center" wrapText="1"/>
      <protection/>
    </xf>
    <xf numFmtId="4" fontId="1" fillId="42" borderId="41" xfId="0" applyNumberFormat="1" applyFont="1" applyFill="1" applyBorder="1" applyAlignment="1" applyProtection="1">
      <alignment horizontal="center" vertical="center" wrapText="1"/>
      <protection/>
    </xf>
    <xf numFmtId="4" fontId="1" fillId="42" borderId="16" xfId="0" applyNumberFormat="1" applyFont="1" applyFill="1" applyBorder="1" applyAlignment="1" applyProtection="1">
      <alignment horizontal="center" vertical="center" wrapText="1"/>
      <protection/>
    </xf>
    <xf numFmtId="0" fontId="1" fillId="42" borderId="44" xfId="0" applyFont="1" applyFill="1" applyBorder="1" applyAlignment="1" applyProtection="1">
      <alignment horizontal="center" vertical="center"/>
      <protection/>
    </xf>
    <xf numFmtId="0" fontId="1" fillId="42" borderId="34" xfId="0" applyFont="1" applyFill="1" applyBorder="1" applyAlignment="1" applyProtection="1">
      <alignment horizontal="center" vertical="center"/>
      <protection/>
    </xf>
    <xf numFmtId="4" fontId="1" fillId="42" borderId="45" xfId="0" applyNumberFormat="1" applyFont="1" applyFill="1" applyBorder="1" applyAlignment="1" applyProtection="1">
      <alignment horizontal="center" vertical="center"/>
      <protection/>
    </xf>
    <xf numFmtId="4" fontId="1" fillId="42" borderId="11" xfId="0" applyNumberFormat="1" applyFont="1" applyFill="1" applyBorder="1" applyAlignment="1" applyProtection="1">
      <alignment horizontal="center" vertical="center"/>
      <protection/>
    </xf>
    <xf numFmtId="4" fontId="1" fillId="42" borderId="32" xfId="0" applyNumberFormat="1" applyFont="1" applyFill="1" applyBorder="1" applyAlignment="1" applyProtection="1">
      <alignment horizontal="center" vertical="center"/>
      <protection/>
    </xf>
    <xf numFmtId="4" fontId="1" fillId="42" borderId="16" xfId="0" applyNumberFormat="1" applyFont="1" applyFill="1" applyBorder="1" applyAlignment="1" applyProtection="1">
      <alignment horizontal="center" vertical="center"/>
      <protection/>
    </xf>
    <xf numFmtId="14" fontId="7" fillId="0" borderId="46" xfId="53" applyNumberFormat="1" applyFont="1" applyBorder="1" applyAlignment="1" applyProtection="1">
      <alignment horizontal="center" vertical="center"/>
      <protection/>
    </xf>
    <xf numFmtId="14" fontId="7" fillId="0" borderId="0" xfId="53" applyNumberFormat="1" applyFont="1" applyBorder="1" applyAlignment="1" applyProtection="1">
      <alignment horizontal="center" vertical="center"/>
      <protection/>
    </xf>
    <xf numFmtId="14" fontId="7" fillId="0" borderId="14" xfId="53" applyNumberFormat="1" applyFont="1" applyBorder="1" applyAlignment="1" applyProtection="1">
      <alignment horizontal="center" vertical="center"/>
      <protection/>
    </xf>
    <xf numFmtId="14" fontId="7" fillId="0" borderId="41" xfId="53" applyNumberFormat="1" applyFont="1" applyBorder="1" applyAlignment="1" applyProtection="1">
      <alignment horizontal="center" vertical="center"/>
      <protection/>
    </xf>
    <xf numFmtId="14" fontId="7" fillId="0" borderId="16" xfId="53" applyNumberFormat="1" applyFont="1" applyBorder="1" applyAlignment="1" applyProtection="1">
      <alignment horizontal="center" vertical="center"/>
      <protection/>
    </xf>
    <xf numFmtId="14" fontId="7" fillId="0" borderId="42" xfId="53" applyNumberFormat="1" applyFont="1" applyBorder="1" applyAlignment="1" applyProtection="1">
      <alignment horizontal="center" vertical="center"/>
      <protection/>
    </xf>
    <xf numFmtId="0" fontId="1" fillId="42" borderId="18" xfId="0" applyFont="1" applyFill="1" applyBorder="1" applyAlignment="1" applyProtection="1">
      <alignment horizontal="center" vertical="center"/>
      <protection/>
    </xf>
    <xf numFmtId="0" fontId="1" fillId="42" borderId="11" xfId="0" applyFont="1" applyFill="1" applyBorder="1" applyAlignment="1" applyProtection="1">
      <alignment horizontal="center" vertical="center"/>
      <protection/>
    </xf>
    <xf numFmtId="0" fontId="1" fillId="42" borderId="39" xfId="0" applyFont="1" applyFill="1" applyBorder="1" applyAlignment="1" applyProtection="1">
      <alignment horizontal="center" vertical="center"/>
      <protection/>
    </xf>
    <xf numFmtId="0" fontId="1" fillId="42" borderId="46" xfId="0" applyFont="1" applyFill="1" applyBorder="1" applyAlignment="1" applyProtection="1">
      <alignment horizontal="center" vertical="center"/>
      <protection/>
    </xf>
    <xf numFmtId="0" fontId="1" fillId="42" borderId="0" xfId="0" applyFont="1" applyFill="1" applyBorder="1" applyAlignment="1" applyProtection="1">
      <alignment horizontal="center" vertical="center"/>
      <protection/>
    </xf>
    <xf numFmtId="0" fontId="1" fillId="42" borderId="14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4" fontId="1" fillId="0" borderId="46" xfId="53" applyNumberFormat="1" applyFont="1" applyFill="1" applyBorder="1" applyAlignment="1" applyProtection="1">
      <alignment horizontal="center" vertical="center"/>
      <protection/>
    </xf>
    <xf numFmtId="4" fontId="1" fillId="0" borderId="0" xfId="53" applyNumberFormat="1" applyFont="1" applyFill="1" applyBorder="1" applyAlignment="1" applyProtection="1">
      <alignment horizontal="center" vertical="center"/>
      <protection/>
    </xf>
    <xf numFmtId="4" fontId="1" fillId="0" borderId="15" xfId="53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48" xfId="0" applyNumberFormat="1" applyFont="1" applyBorder="1" applyAlignment="1" applyProtection="1">
      <alignment horizontal="left" vertical="center"/>
      <protection locked="0"/>
    </xf>
    <xf numFmtId="0" fontId="7" fillId="0" borderId="47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175" fontId="7" fillId="0" borderId="47" xfId="0" applyNumberFormat="1" applyFont="1" applyBorder="1" applyAlignment="1" applyProtection="1">
      <alignment horizontal="center" vertical="center"/>
      <protection locked="0"/>
    </xf>
    <xf numFmtId="175" fontId="7" fillId="0" borderId="12" xfId="0" applyNumberFormat="1" applyFont="1" applyBorder="1" applyAlignment="1" applyProtection="1">
      <alignment horizontal="center" vertical="center"/>
      <protection locked="0"/>
    </xf>
    <xf numFmtId="175" fontId="7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9" fontId="7" fillId="0" borderId="0" xfId="56" applyFont="1" applyBorder="1" applyAlignment="1" applyProtection="1">
      <alignment horizontal="center" vertical="center"/>
      <protection/>
    </xf>
    <xf numFmtId="9" fontId="7" fillId="0" borderId="14" xfId="56" applyFont="1" applyBorder="1" applyAlignment="1" applyProtection="1">
      <alignment horizontal="center" vertical="center"/>
      <protection/>
    </xf>
    <xf numFmtId="9" fontId="7" fillId="0" borderId="16" xfId="56" applyFont="1" applyBorder="1" applyAlignment="1" applyProtection="1">
      <alignment horizontal="center" vertical="center"/>
      <protection/>
    </xf>
    <xf numFmtId="9" fontId="7" fillId="0" borderId="42" xfId="56" applyFont="1" applyBorder="1" applyAlignment="1" applyProtection="1">
      <alignment horizontal="center" vertical="center"/>
      <protection/>
    </xf>
    <xf numFmtId="4" fontId="7" fillId="41" borderId="11" xfId="0" applyNumberFormat="1" applyFont="1" applyFill="1" applyBorder="1" applyAlignment="1" applyProtection="1">
      <alignment horizontal="center" vertical="center"/>
      <protection hidden="1"/>
    </xf>
    <xf numFmtId="4" fontId="7" fillId="41" borderId="19" xfId="0" applyNumberFormat="1" applyFont="1" applyFill="1" applyBorder="1" applyAlignment="1" applyProtection="1">
      <alignment horizontal="center" vertical="center"/>
      <protection hidden="1"/>
    </xf>
    <xf numFmtId="4" fontId="7" fillId="41" borderId="12" xfId="0" applyNumberFormat="1" applyFont="1" applyFill="1" applyBorder="1" applyAlignment="1" applyProtection="1">
      <alignment horizontal="center" vertical="center"/>
      <protection hidden="1"/>
    </xf>
    <xf numFmtId="4" fontId="7" fillId="41" borderId="48" xfId="0" applyNumberFormat="1" applyFont="1" applyFill="1" applyBorder="1" applyAlignment="1" applyProtection="1">
      <alignment horizontal="center" vertical="center"/>
      <protection hidden="1"/>
    </xf>
    <xf numFmtId="14" fontId="1" fillId="43" borderId="18" xfId="53" applyNumberFormat="1" applyFont="1" applyFill="1" applyBorder="1" applyAlignment="1" applyProtection="1">
      <alignment horizontal="center" vertical="center"/>
      <protection hidden="1"/>
    </xf>
    <xf numFmtId="14" fontId="1" fillId="43" borderId="11" xfId="53" applyNumberFormat="1" applyFont="1" applyFill="1" applyBorder="1" applyAlignment="1" applyProtection="1">
      <alignment horizontal="center" vertical="center"/>
      <protection hidden="1"/>
    </xf>
    <xf numFmtId="14" fontId="1" fillId="43" borderId="19" xfId="53" applyNumberFormat="1" applyFont="1" applyFill="1" applyBorder="1" applyAlignment="1" applyProtection="1">
      <alignment horizontal="center" vertical="center"/>
      <protection hidden="1"/>
    </xf>
    <xf numFmtId="49" fontId="7" fillId="0" borderId="32" xfId="0" applyNumberFormat="1" applyFont="1" applyBorder="1" applyAlignment="1" applyProtection="1">
      <alignment horizontal="left" vertical="center"/>
      <protection locked="0"/>
    </xf>
    <xf numFmtId="49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vertical="center"/>
      <protection/>
    </xf>
    <xf numFmtId="49" fontId="7" fillId="0" borderId="47" xfId="0" applyNumberFormat="1" applyFont="1" applyBorder="1" applyAlignment="1" applyProtection="1">
      <alignment horizontal="left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49" fontId="7" fillId="0" borderId="48" xfId="0" applyNumberFormat="1" applyFont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175" fontId="7" fillId="0" borderId="41" xfId="0" applyNumberFormat="1" applyFont="1" applyBorder="1" applyAlignment="1" applyProtection="1">
      <alignment horizontal="center" vertical="center"/>
      <protection locked="0"/>
    </xf>
    <xf numFmtId="175" fontId="7" fillId="0" borderId="16" xfId="0" applyNumberFormat="1" applyFont="1" applyBorder="1" applyAlignment="1" applyProtection="1">
      <alignment horizontal="center" vertical="center"/>
      <protection locked="0"/>
    </xf>
    <xf numFmtId="175" fontId="7" fillId="0" borderId="17" xfId="0" applyNumberFormat="1" applyFont="1" applyBorder="1" applyAlignment="1" applyProtection="1">
      <alignment horizontal="center" vertical="center"/>
      <protection locked="0"/>
    </xf>
    <xf numFmtId="3" fontId="1" fillId="0" borderId="45" xfId="53" applyNumberFormat="1" applyFont="1" applyBorder="1" applyAlignment="1" applyProtection="1">
      <alignment horizontal="left" vertical="center"/>
      <protection/>
    </xf>
    <xf numFmtId="0" fontId="1" fillId="0" borderId="46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1" fillId="0" borderId="41" xfId="0" applyFont="1" applyFill="1" applyBorder="1" applyAlignment="1" applyProtection="1">
      <alignment horizontal="center"/>
      <protection hidden="1" locked="0"/>
    </xf>
    <xf numFmtId="0" fontId="1" fillId="0" borderId="16" xfId="0" applyFont="1" applyFill="1" applyBorder="1" applyAlignment="1" applyProtection="1">
      <alignment horizontal="center"/>
      <protection hidden="1" locked="0"/>
    </xf>
    <xf numFmtId="49" fontId="1" fillId="0" borderId="45" xfId="0" applyNumberFormat="1" applyFont="1" applyBorder="1" applyAlignment="1" applyProtection="1">
      <alignment horizontal="left" vertical="center"/>
      <protection/>
    </xf>
    <xf numFmtId="49" fontId="1" fillId="0" borderId="11" xfId="0" applyNumberFormat="1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71" fontId="7" fillId="0" borderId="41" xfId="67" applyFont="1" applyBorder="1" applyAlignment="1" applyProtection="1">
      <alignment horizontal="center"/>
      <protection/>
    </xf>
    <xf numFmtId="171" fontId="7" fillId="0" borderId="16" xfId="67" applyFont="1" applyBorder="1" applyAlignment="1" applyProtection="1">
      <alignment horizontal="center"/>
      <protection/>
    </xf>
    <xf numFmtId="14" fontId="7" fillId="32" borderId="46" xfId="53" applyNumberFormat="1" applyFont="1" applyFill="1" applyBorder="1" applyAlignment="1" applyProtection="1">
      <alignment horizontal="center" vertical="center"/>
      <protection/>
    </xf>
    <xf numFmtId="14" fontId="7" fillId="32" borderId="41" xfId="53" applyNumberFormat="1" applyFont="1" applyFill="1" applyBorder="1" applyAlignment="1" applyProtection="1">
      <alignment horizontal="center" vertical="center"/>
      <protection/>
    </xf>
    <xf numFmtId="176" fontId="7" fillId="0" borderId="41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4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3" fontId="1" fillId="0" borderId="10" xfId="53" applyNumberFormat="1" applyFont="1" applyBorder="1" applyAlignment="1" applyProtection="1">
      <alignment horizontal="center" vertical="center"/>
      <protection/>
    </xf>
    <xf numFmtId="3" fontId="1" fillId="0" borderId="0" xfId="53" applyNumberFormat="1" applyFont="1" applyBorder="1" applyAlignment="1" applyProtection="1">
      <alignment horizontal="center" vertical="center"/>
      <protection/>
    </xf>
    <xf numFmtId="4" fontId="7" fillId="41" borderId="18" xfId="0" applyNumberFormat="1" applyFont="1" applyFill="1" applyBorder="1" applyAlignment="1" applyProtection="1">
      <alignment horizontal="center" vertical="center"/>
      <protection hidden="1"/>
    </xf>
    <xf numFmtId="4" fontId="7" fillId="41" borderId="41" xfId="0" applyNumberFormat="1" applyFont="1" applyFill="1" applyBorder="1" applyAlignment="1" applyProtection="1">
      <alignment horizontal="center" vertical="center"/>
      <protection hidden="1"/>
    </xf>
    <xf numFmtId="4" fontId="7" fillId="41" borderId="16" xfId="0" applyNumberFormat="1" applyFont="1" applyFill="1" applyBorder="1" applyAlignment="1" applyProtection="1">
      <alignment horizontal="center" vertical="center"/>
      <protection hidden="1"/>
    </xf>
    <xf numFmtId="4" fontId="7" fillId="41" borderId="47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7" fillId="0" borderId="42" xfId="53" applyFont="1" applyBorder="1" applyAlignment="1" applyProtection="1">
      <alignment horizontal="center" vertical="center"/>
      <protection locked="0"/>
    </xf>
    <xf numFmtId="177" fontId="1" fillId="0" borderId="49" xfId="53" applyNumberFormat="1" applyFont="1" applyBorder="1" applyAlignment="1" applyProtection="1">
      <alignment horizontal="left" vertical="center"/>
      <protection/>
    </xf>
    <xf numFmtId="0" fontId="18" fillId="0" borderId="45" xfId="0" applyFont="1" applyBorder="1" applyAlignment="1" applyProtection="1" quotePrefix="1">
      <alignment horizontal="center" vertical="center"/>
      <protection/>
    </xf>
    <xf numFmtId="0" fontId="18" fillId="0" borderId="11" xfId="0" applyFont="1" applyBorder="1" applyAlignment="1" applyProtection="1" quotePrefix="1">
      <alignment horizontal="center" vertical="center"/>
      <protection/>
    </xf>
    <xf numFmtId="0" fontId="18" fillId="0" borderId="10" xfId="0" applyFont="1" applyBorder="1" applyAlignment="1" applyProtection="1" quotePrefix="1">
      <alignment horizontal="center" vertical="center"/>
      <protection/>
    </xf>
    <xf numFmtId="0" fontId="18" fillId="0" borderId="0" xfId="0" applyFont="1" applyBorder="1" applyAlignment="1" applyProtection="1" quotePrefix="1">
      <alignment horizontal="center" vertical="center"/>
      <protection/>
    </xf>
    <xf numFmtId="3" fontId="1" fillId="0" borderId="46" xfId="53" applyNumberFormat="1" applyFont="1" applyBorder="1" applyAlignment="1" applyProtection="1">
      <alignment horizontal="center" vertical="center"/>
      <protection/>
    </xf>
    <xf numFmtId="3" fontId="1" fillId="0" borderId="14" xfId="53" applyNumberFormat="1" applyFont="1" applyBorder="1" applyAlignment="1" applyProtection="1">
      <alignment horizontal="center" vertical="center"/>
      <protection/>
    </xf>
    <xf numFmtId="177" fontId="1" fillId="0" borderId="29" xfId="53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" fontId="1" fillId="0" borderId="10" xfId="53" applyNumberFormat="1" applyFont="1" applyFill="1" applyBorder="1" applyAlignment="1" applyProtection="1">
      <alignment horizontal="center" vertical="center"/>
      <protection/>
    </xf>
    <xf numFmtId="4" fontId="1" fillId="0" borderId="18" xfId="53" applyNumberFormat="1" applyFont="1" applyFill="1" applyBorder="1" applyAlignment="1" applyProtection="1">
      <alignment horizontal="center" vertical="center"/>
      <protection/>
    </xf>
    <xf numFmtId="4" fontId="1" fillId="0" borderId="11" xfId="53" applyNumberFormat="1" applyFont="1" applyFill="1" applyBorder="1" applyAlignment="1" applyProtection="1">
      <alignment horizontal="center" vertical="center"/>
      <protection/>
    </xf>
    <xf numFmtId="4" fontId="1" fillId="0" borderId="19" xfId="53" applyNumberFormat="1" applyFont="1" applyFill="1" applyBorder="1" applyAlignment="1" applyProtection="1">
      <alignment horizontal="center" vertical="center"/>
      <protection/>
    </xf>
    <xf numFmtId="14" fontId="7" fillId="0" borderId="41" xfId="53" applyNumberFormat="1" applyFont="1" applyFill="1" applyBorder="1" applyAlignment="1" applyProtection="1">
      <alignment horizontal="center" vertical="center"/>
      <protection locked="0"/>
    </xf>
    <xf numFmtId="14" fontId="7" fillId="0" borderId="16" xfId="53" applyNumberFormat="1" applyFont="1" applyFill="1" applyBorder="1" applyAlignment="1" applyProtection="1">
      <alignment horizontal="center" vertical="center"/>
      <protection locked="0"/>
    </xf>
    <xf numFmtId="14" fontId="7" fillId="0" borderId="17" xfId="53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/>
    </xf>
    <xf numFmtId="178" fontId="13" fillId="0" borderId="41" xfId="67" applyNumberFormat="1" applyFont="1" applyFill="1" applyBorder="1" applyAlignment="1" applyProtection="1">
      <alignment horizontal="center"/>
      <protection hidden="1" locked="0"/>
    </xf>
    <xf numFmtId="178" fontId="13" fillId="0" borderId="16" xfId="67" applyNumberFormat="1" applyFont="1" applyFill="1" applyBorder="1" applyAlignment="1" applyProtection="1">
      <alignment horizontal="center"/>
      <protection hidden="1" locked="0"/>
    </xf>
    <xf numFmtId="14" fontId="7" fillId="41" borderId="44" xfId="0" applyNumberFormat="1" applyFont="1" applyFill="1" applyBorder="1" applyAlignment="1" applyProtection="1">
      <alignment horizontal="center"/>
      <protection hidden="1"/>
    </xf>
    <xf numFmtId="14" fontId="7" fillId="41" borderId="35" xfId="0" applyNumberFormat="1" applyFont="1" applyFill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47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1" fillId="42" borderId="18" xfId="0" applyFont="1" applyFill="1" applyBorder="1" applyAlignment="1" applyProtection="1">
      <alignment horizontal="center" vertical="center" wrapText="1"/>
      <protection/>
    </xf>
    <xf numFmtId="0" fontId="1" fillId="42" borderId="11" xfId="0" applyFont="1" applyFill="1" applyBorder="1" applyAlignment="1" applyProtection="1">
      <alignment horizontal="center" vertical="center" wrapText="1"/>
      <protection/>
    </xf>
    <xf numFmtId="0" fontId="1" fillId="42" borderId="46" xfId="0" applyFont="1" applyFill="1" applyBorder="1" applyAlignment="1" applyProtection="1">
      <alignment horizontal="center" vertical="center" wrapText="1"/>
      <protection/>
    </xf>
    <xf numFmtId="0" fontId="1" fillId="42" borderId="0" xfId="0" applyFont="1" applyFill="1" applyBorder="1" applyAlignment="1" applyProtection="1">
      <alignment horizontal="center" vertical="center" wrapText="1"/>
      <protection/>
    </xf>
    <xf numFmtId="0" fontId="1" fillId="42" borderId="41" xfId="0" applyFont="1" applyFill="1" applyBorder="1" applyAlignment="1" applyProtection="1">
      <alignment horizontal="center" vertical="center" wrapText="1"/>
      <protection/>
    </xf>
    <xf numFmtId="0" fontId="1" fillId="42" borderId="16" xfId="0" applyFont="1" applyFill="1" applyBorder="1" applyAlignment="1" applyProtection="1">
      <alignment horizontal="center" vertical="center" wrapText="1"/>
      <protection/>
    </xf>
    <xf numFmtId="174" fontId="7" fillId="0" borderId="11" xfId="0" applyNumberFormat="1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17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41" borderId="17" xfId="0" applyNumberFormat="1" applyFont="1" applyFill="1" applyBorder="1" applyAlignment="1" applyProtection="1">
      <alignment horizontal="center" vertical="center"/>
      <protection hidden="1"/>
    </xf>
    <xf numFmtId="0" fontId="1" fillId="42" borderId="19" xfId="0" applyFont="1" applyFill="1" applyBorder="1" applyAlignment="1" applyProtection="1">
      <alignment horizontal="center" vertical="center" wrapText="1"/>
      <protection/>
    </xf>
    <xf numFmtId="0" fontId="1" fillId="42" borderId="15" xfId="0" applyFont="1" applyFill="1" applyBorder="1" applyAlignment="1" applyProtection="1">
      <alignment horizontal="center" vertical="center" wrapText="1"/>
      <protection/>
    </xf>
    <xf numFmtId="0" fontId="1" fillId="42" borderId="17" xfId="0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 hidden="1"/>
    </xf>
    <xf numFmtId="4" fontId="7" fillId="0" borderId="19" xfId="0" applyNumberFormat="1" applyFont="1" applyFill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center"/>
      <protection hidden="1"/>
    </xf>
    <xf numFmtId="4" fontId="7" fillId="0" borderId="15" xfId="0" applyNumberFormat="1" applyFont="1" applyFill="1" applyBorder="1" applyAlignment="1" applyProtection="1">
      <alignment horizontal="center" vertical="center"/>
      <protection hidden="1"/>
    </xf>
    <xf numFmtId="4" fontId="7" fillId="0" borderId="12" xfId="0" applyNumberFormat="1" applyFont="1" applyFill="1" applyBorder="1" applyAlignment="1" applyProtection="1">
      <alignment horizontal="center" vertical="center"/>
      <protection hidden="1"/>
    </xf>
    <xf numFmtId="4" fontId="7" fillId="0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4" fontId="7" fillId="42" borderId="18" xfId="0" applyNumberFormat="1" applyFont="1" applyFill="1" applyBorder="1" applyAlignment="1" applyProtection="1">
      <alignment horizontal="center"/>
      <protection hidden="1"/>
    </xf>
    <xf numFmtId="14" fontId="7" fillId="42" borderId="11" xfId="0" applyNumberFormat="1" applyFont="1" applyFill="1" applyBorder="1" applyAlignment="1" applyProtection="1">
      <alignment horizontal="center"/>
      <protection hidden="1"/>
    </xf>
    <xf numFmtId="14" fontId="7" fillId="42" borderId="39" xfId="0" applyNumberFormat="1" applyFont="1" applyFill="1" applyBorder="1" applyAlignment="1" applyProtection="1">
      <alignment horizontal="center"/>
      <protection hidden="1"/>
    </xf>
    <xf numFmtId="14" fontId="7" fillId="42" borderId="41" xfId="0" applyNumberFormat="1" applyFont="1" applyFill="1" applyBorder="1" applyAlignment="1" applyProtection="1">
      <alignment horizontal="center"/>
      <protection hidden="1"/>
    </xf>
    <xf numFmtId="14" fontId="7" fillId="42" borderId="16" xfId="0" applyNumberFormat="1" applyFont="1" applyFill="1" applyBorder="1" applyAlignment="1" applyProtection="1">
      <alignment horizontal="center"/>
      <protection hidden="1"/>
    </xf>
    <xf numFmtId="14" fontId="7" fillId="42" borderId="42" xfId="0" applyNumberFormat="1" applyFont="1" applyFill="1" applyBorder="1" applyAlignment="1" applyProtection="1">
      <alignment horizontal="center"/>
      <protection hidden="1"/>
    </xf>
    <xf numFmtId="14" fontId="1" fillId="43" borderId="45" xfId="53" applyNumberFormat="1" applyFont="1" applyFill="1" applyBorder="1" applyAlignment="1" applyProtection="1">
      <alignment horizontal="center" vertical="center"/>
      <protection hidden="1"/>
    </xf>
    <xf numFmtId="0" fontId="1" fillId="42" borderId="19" xfId="0" applyFont="1" applyFill="1" applyBorder="1" applyAlignment="1" applyProtection="1">
      <alignment horizontal="center" vertical="center"/>
      <protection/>
    </xf>
    <xf numFmtId="0" fontId="1" fillId="42" borderId="15" xfId="0" applyFont="1" applyFill="1" applyBorder="1" applyAlignment="1" applyProtection="1">
      <alignment horizontal="center" vertical="center"/>
      <protection/>
    </xf>
    <xf numFmtId="0" fontId="1" fillId="42" borderId="50" xfId="0" applyFont="1" applyFill="1" applyBorder="1" applyAlignment="1" applyProtection="1">
      <alignment horizontal="center" vertical="center" wrapText="1"/>
      <protection/>
    </xf>
    <xf numFmtId="0" fontId="1" fillId="42" borderId="51" xfId="0" applyFont="1" applyFill="1" applyBorder="1" applyAlignment="1" applyProtection="1">
      <alignment horizontal="center" vertical="center" wrapText="1"/>
      <protection/>
    </xf>
    <xf numFmtId="0" fontId="1" fillId="42" borderId="52" xfId="0" applyFont="1" applyFill="1" applyBorder="1" applyAlignment="1" applyProtection="1">
      <alignment horizontal="center" vertical="center" wrapText="1"/>
      <protection/>
    </xf>
    <xf numFmtId="0" fontId="1" fillId="42" borderId="53" xfId="0" applyFont="1" applyFill="1" applyBorder="1" applyAlignment="1" applyProtection="1">
      <alignment horizontal="center" vertical="center" wrapText="1"/>
      <protection/>
    </xf>
    <xf numFmtId="0" fontId="1" fillId="42" borderId="54" xfId="0" applyFont="1" applyFill="1" applyBorder="1" applyAlignment="1" applyProtection="1">
      <alignment horizontal="center" vertical="center" wrapText="1"/>
      <protection/>
    </xf>
    <xf numFmtId="0" fontId="1" fillId="42" borderId="55" xfId="0" applyFont="1" applyFill="1" applyBorder="1" applyAlignment="1" applyProtection="1">
      <alignment horizontal="center" vertical="center" wrapText="1"/>
      <protection/>
    </xf>
    <xf numFmtId="181" fontId="7" fillId="44" borderId="0" xfId="53" applyNumberFormat="1" applyFont="1" applyFill="1" applyBorder="1" applyAlignment="1" applyProtection="1">
      <alignment horizontal="center" vertical="center"/>
      <protection hidden="1"/>
    </xf>
    <xf numFmtId="181" fontId="7" fillId="44" borderId="15" xfId="53" applyNumberFormat="1" applyFont="1" applyFill="1" applyBorder="1" applyAlignment="1" applyProtection="1">
      <alignment horizontal="center" vertical="center"/>
      <protection hidden="1"/>
    </xf>
    <xf numFmtId="181" fontId="7" fillId="44" borderId="16" xfId="53" applyNumberFormat="1" applyFont="1" applyFill="1" applyBorder="1" applyAlignment="1" applyProtection="1">
      <alignment horizontal="center" vertical="center"/>
      <protection hidden="1"/>
    </xf>
    <xf numFmtId="181" fontId="7" fillId="44" borderId="17" xfId="53" applyNumberFormat="1" applyFont="1" applyFill="1" applyBorder="1" applyAlignment="1" applyProtection="1">
      <alignment horizontal="center" vertical="center"/>
      <protection hidden="1"/>
    </xf>
    <xf numFmtId="14" fontId="1" fillId="40" borderId="32" xfId="53" applyNumberFormat="1" applyFont="1" applyFill="1" applyBorder="1" applyAlignment="1" applyProtection="1">
      <alignment horizontal="left" vertical="center"/>
      <protection hidden="1"/>
    </xf>
    <xf numFmtId="14" fontId="1" fillId="40" borderId="16" xfId="53" applyNumberFormat="1" applyFont="1" applyFill="1" applyBorder="1" applyAlignment="1" applyProtection="1">
      <alignment horizontal="left" vertical="center"/>
      <protection hidden="1"/>
    </xf>
    <xf numFmtId="14" fontId="1" fillId="40" borderId="17" xfId="53" applyNumberFormat="1" applyFont="1" applyFill="1" applyBorder="1" applyAlignment="1" applyProtection="1">
      <alignment horizontal="left" vertical="center"/>
      <protection hidden="1"/>
    </xf>
    <xf numFmtId="0" fontId="24" fillId="37" borderId="0" xfId="0" applyFont="1" applyFill="1" applyBorder="1" applyAlignment="1" applyProtection="1">
      <alignment horizontal="center" vertical="center" wrapText="1"/>
      <protection locked="0"/>
    </xf>
    <xf numFmtId="0" fontId="24" fillId="38" borderId="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14" fontId="7" fillId="0" borderId="46" xfId="53" applyNumberFormat="1" applyFont="1" applyFill="1" applyBorder="1" applyAlignment="1" applyProtection="1">
      <alignment horizontal="center" vertical="center"/>
      <protection/>
    </xf>
    <xf numFmtId="14" fontId="7" fillId="0" borderId="0" xfId="53" applyNumberFormat="1" applyFont="1" applyFill="1" applyBorder="1" applyAlignment="1" applyProtection="1">
      <alignment horizontal="center" vertical="center"/>
      <protection/>
    </xf>
    <xf numFmtId="14" fontId="7" fillId="0" borderId="15" xfId="53" applyNumberFormat="1" applyFont="1" applyFill="1" applyBorder="1" applyAlignment="1" applyProtection="1">
      <alignment horizontal="center" vertical="center"/>
      <protection/>
    </xf>
    <xf numFmtId="14" fontId="7" fillId="0" borderId="41" xfId="53" applyNumberFormat="1" applyFont="1" applyFill="1" applyBorder="1" applyAlignment="1" applyProtection="1">
      <alignment horizontal="center" vertical="center"/>
      <protection/>
    </xf>
    <xf numFmtId="14" fontId="7" fillId="0" borderId="17" xfId="53" applyNumberFormat="1" applyFont="1" applyFill="1" applyBorder="1" applyAlignment="1" applyProtection="1">
      <alignment horizontal="center" vertical="center"/>
      <protection/>
    </xf>
    <xf numFmtId="0" fontId="1" fillId="42" borderId="16" xfId="0" applyFont="1" applyFill="1" applyBorder="1" applyAlignment="1" applyProtection="1">
      <alignment horizontal="center" vertical="center"/>
      <protection/>
    </xf>
    <xf numFmtId="0" fontId="1" fillId="42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71" fontId="7" fillId="0" borderId="11" xfId="67" applyNumberFormat="1" applyFont="1" applyFill="1" applyBorder="1" applyAlignment="1" applyProtection="1">
      <alignment horizontal="center" vertical="center"/>
      <protection locked="0"/>
    </xf>
    <xf numFmtId="171" fontId="7" fillId="0" borderId="0" xfId="67" applyNumberFormat="1" applyFont="1" applyFill="1" applyBorder="1" applyAlignment="1" applyProtection="1">
      <alignment horizontal="center" vertical="center"/>
      <protection locked="0"/>
    </xf>
    <xf numFmtId="171" fontId="7" fillId="0" borderId="12" xfId="67" applyNumberFormat="1" applyFont="1" applyFill="1" applyBorder="1" applyAlignment="1" applyProtection="1">
      <alignment horizontal="center" vertical="center"/>
      <protection locked="0"/>
    </xf>
    <xf numFmtId="4" fontId="1" fillId="40" borderId="42" xfId="53" applyNumberFormat="1" applyFont="1" applyFill="1" applyBorder="1" applyAlignment="1" applyProtection="1">
      <alignment horizontal="left" vertical="top"/>
      <protection hidden="1"/>
    </xf>
    <xf numFmtId="49" fontId="5" fillId="0" borderId="0" xfId="0" applyNumberFormat="1" applyFont="1" applyAlignment="1" applyProtection="1">
      <alignment horizontal="center" vertical="center"/>
      <protection/>
    </xf>
    <xf numFmtId="171" fontId="7" fillId="0" borderId="41" xfId="67" applyFont="1" applyBorder="1" applyAlignment="1" applyProtection="1">
      <alignment horizontal="center" vertical="center"/>
      <protection/>
    </xf>
    <xf numFmtId="171" fontId="7" fillId="0" borderId="16" xfId="67" applyFont="1" applyBorder="1" applyAlignment="1" applyProtection="1">
      <alignment horizontal="center" vertical="center"/>
      <protection/>
    </xf>
    <xf numFmtId="178" fontId="13" fillId="0" borderId="17" xfId="67" applyNumberFormat="1" applyFont="1" applyFill="1" applyBorder="1" applyAlignment="1" applyProtection="1">
      <alignment horizontal="center"/>
      <protection hidden="1" locked="0"/>
    </xf>
    <xf numFmtId="0" fontId="18" fillId="0" borderId="45" xfId="0" applyFont="1" applyBorder="1" applyAlignment="1" applyProtection="1" quotePrefix="1">
      <alignment horizontal="left" vertical="center"/>
      <protection/>
    </xf>
    <xf numFmtId="0" fontId="18" fillId="0" borderId="11" xfId="0" applyFont="1" applyBorder="1" applyAlignment="1" applyProtection="1" quotePrefix="1">
      <alignment horizontal="left" vertical="center"/>
      <protection/>
    </xf>
    <xf numFmtId="0" fontId="18" fillId="0" borderId="13" xfId="0" applyFont="1" applyBorder="1" applyAlignment="1" applyProtection="1" quotePrefix="1">
      <alignment horizontal="left" vertical="center"/>
      <protection/>
    </xf>
    <xf numFmtId="0" fontId="18" fillId="0" borderId="12" xfId="0" applyFont="1" applyBorder="1" applyAlignment="1" applyProtection="1" quotePrefix="1">
      <alignment horizontal="left" vertical="center"/>
      <protection/>
    </xf>
    <xf numFmtId="4" fontId="1" fillId="0" borderId="14" xfId="53" applyNumberFormat="1" applyFont="1" applyFill="1" applyBorder="1" applyAlignment="1" applyProtection="1">
      <alignment horizontal="center" vertical="center"/>
      <protection/>
    </xf>
    <xf numFmtId="178" fontId="13" fillId="0" borderId="42" xfId="67" applyNumberFormat="1" applyFont="1" applyFill="1" applyBorder="1" applyAlignment="1" applyProtection="1">
      <alignment horizontal="center"/>
      <protection hidden="1" locked="0"/>
    </xf>
    <xf numFmtId="3" fontId="1" fillId="0" borderId="13" xfId="53" applyNumberFormat="1" applyFont="1" applyBorder="1" applyAlignment="1" applyProtection="1">
      <alignment horizontal="center" vertical="center"/>
      <protection/>
    </xf>
    <xf numFmtId="3" fontId="1" fillId="0" borderId="12" xfId="53" applyNumberFormat="1" applyFont="1" applyBorder="1" applyAlignment="1" applyProtection="1">
      <alignment horizontal="center" vertical="center"/>
      <protection/>
    </xf>
    <xf numFmtId="3" fontId="1" fillId="0" borderId="47" xfId="53" applyNumberFormat="1" applyFont="1" applyBorder="1" applyAlignment="1" applyProtection="1">
      <alignment horizontal="center" vertical="center"/>
      <protection/>
    </xf>
    <xf numFmtId="3" fontId="1" fillId="0" borderId="20" xfId="53" applyNumberFormat="1" applyFont="1" applyBorder="1" applyAlignment="1" applyProtection="1">
      <alignment horizontal="center" vertical="center"/>
      <protection/>
    </xf>
    <xf numFmtId="171" fontId="7" fillId="0" borderId="42" xfId="67" applyFont="1" applyBorder="1" applyAlignment="1" applyProtection="1">
      <alignment horizontal="center"/>
      <protection locked="0"/>
    </xf>
    <xf numFmtId="4" fontId="1" fillId="0" borderId="45" xfId="53" applyNumberFormat="1" applyFont="1" applyFill="1" applyBorder="1" applyAlignment="1" applyProtection="1">
      <alignment horizontal="center" vertical="center"/>
      <protection/>
    </xf>
    <xf numFmtId="4" fontId="7" fillId="41" borderId="42" xfId="0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3" xfId="52"/>
    <cellStyle name="Normal_Novo Modelo de FRO Pré-Embarque" xfId="53"/>
    <cellStyle name="Normal_plan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17">
    <dxf>
      <fill>
        <patternFill>
          <bgColor rgb="FFFF0000"/>
        </patternFill>
      </fill>
    </dxf>
    <dxf>
      <fill>
        <patternFill patternType="darkDown"/>
      </fill>
    </dxf>
    <dxf>
      <fill>
        <patternFill patternType="darkUp"/>
      </fill>
    </dxf>
    <dxf>
      <fill>
        <patternFill patternType="darkUp"/>
      </fill>
    </dxf>
    <dxf>
      <fill>
        <patternFill patternType="gray0625">
          <bgColor indexed="22"/>
        </patternFill>
      </fill>
    </dxf>
    <dxf>
      <fill>
        <patternFill>
          <bgColor indexed="10"/>
        </patternFill>
      </fill>
    </dxf>
    <dxf>
      <font>
        <color indexed="31"/>
      </font>
      <fill>
        <patternFill patternType="gray125">
          <fgColor indexed="22"/>
          <bgColor indexed="31"/>
        </patternFill>
      </fill>
    </dxf>
    <dxf>
      <font>
        <color indexed="31"/>
      </font>
      <fill>
        <patternFill patternType="gray125">
          <fgColor indexed="22"/>
          <bgColor indexed="31"/>
        </patternFill>
      </fill>
    </dxf>
    <dxf>
      <fill>
        <patternFill>
          <bgColor rgb="FFFF0000"/>
        </patternFill>
      </fill>
    </dxf>
    <dxf>
      <fill>
        <patternFill patternType="gray0625">
          <bgColor indexed="22"/>
        </patternFill>
      </fill>
    </dxf>
    <dxf>
      <fill>
        <patternFill>
          <bgColor indexed="10"/>
        </patternFill>
      </fill>
    </dxf>
    <dxf>
      <font>
        <color indexed="31"/>
      </font>
      <fill>
        <patternFill patternType="gray125">
          <fgColor indexed="22"/>
          <bgColor indexed="31"/>
        </patternFill>
      </fill>
    </dxf>
    <dxf>
      <fill>
        <patternFill patternType="darkDown"/>
      </fill>
    </dxf>
    <dxf>
      <fill>
        <patternFill patternType="darkUp"/>
      </fill>
    </dxf>
    <dxf>
      <fill>
        <patternFill patternType="darkUp"/>
      </fill>
    </dxf>
    <dxf>
      <font>
        <color indexed="31"/>
      </font>
      <fill>
        <patternFill patternType="gray125">
          <fgColor indexed="22"/>
          <bgColor indexed="31"/>
        </patternFill>
      </fill>
    </dxf>
    <dxf>
      <font>
        <color rgb="FFCCCCFF"/>
      </font>
      <fill>
        <patternFill patternType="gray125">
          <fgColor rgb="FFC0C0C0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5</xdr:row>
      <xdr:rowOff>0</xdr:rowOff>
    </xdr:from>
    <xdr:to>
      <xdr:col>29</xdr:col>
      <xdr:colOff>28575</xdr:colOff>
      <xdr:row>8</xdr:row>
      <xdr:rowOff>9525</xdr:rowOff>
    </xdr:to>
    <xdr:sp>
      <xdr:nvSpPr>
        <xdr:cNvPr id="1" name="AutoShape 67"/>
        <xdr:cNvSpPr>
          <a:spLocks/>
        </xdr:cNvSpPr>
      </xdr:nvSpPr>
      <xdr:spPr>
        <a:xfrm>
          <a:off x="1685925" y="1019175"/>
          <a:ext cx="1990725" cy="609600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Operação apresentada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em conformidade com a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Circular AEX nº 002/2018,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04/01/2018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190500</xdr:colOff>
      <xdr:row>0</xdr:row>
      <xdr:rowOff>247650</xdr:rowOff>
    </xdr:to>
    <xdr:pic>
      <xdr:nvPicPr>
        <xdr:cNvPr id="2" name="Picture 213" descr="BN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952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38</xdr:row>
      <xdr:rowOff>19050</xdr:rowOff>
    </xdr:from>
    <xdr:to>
      <xdr:col>14</xdr:col>
      <xdr:colOff>57150</xdr:colOff>
      <xdr:row>38</xdr:row>
      <xdr:rowOff>19050</xdr:rowOff>
    </xdr:to>
    <xdr:sp>
      <xdr:nvSpPr>
        <xdr:cNvPr id="3" name="Line 475"/>
        <xdr:cNvSpPr>
          <a:spLocks/>
        </xdr:cNvSpPr>
      </xdr:nvSpPr>
      <xdr:spPr>
        <a:xfrm>
          <a:off x="1457325" y="54768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5</xdr:row>
      <xdr:rowOff>0</xdr:rowOff>
    </xdr:from>
    <xdr:to>
      <xdr:col>29</xdr:col>
      <xdr:colOff>28575</xdr:colOff>
      <xdr:row>8</xdr:row>
      <xdr:rowOff>9525</xdr:rowOff>
    </xdr:to>
    <xdr:sp>
      <xdr:nvSpPr>
        <xdr:cNvPr id="1" name="AutoShape 67"/>
        <xdr:cNvSpPr>
          <a:spLocks/>
        </xdr:cNvSpPr>
      </xdr:nvSpPr>
      <xdr:spPr>
        <a:xfrm>
          <a:off x="1685925" y="1095375"/>
          <a:ext cx="1990725" cy="609600"/>
        </a:xfrm>
        <a:prstGeom prst="round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Operação apresentada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em conformidade com a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Circular AEX nº 002/2018, 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04/01/2018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85725</xdr:rowOff>
    </xdr:from>
    <xdr:to>
      <xdr:col>8</xdr:col>
      <xdr:colOff>190500</xdr:colOff>
      <xdr:row>0</xdr:row>
      <xdr:rowOff>314325</xdr:rowOff>
    </xdr:to>
    <xdr:pic>
      <xdr:nvPicPr>
        <xdr:cNvPr id="2" name="Picture 213" descr="BN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40</xdr:row>
      <xdr:rowOff>19050</xdr:rowOff>
    </xdr:from>
    <xdr:to>
      <xdr:col>14</xdr:col>
      <xdr:colOff>57150</xdr:colOff>
      <xdr:row>40</xdr:row>
      <xdr:rowOff>19050</xdr:rowOff>
    </xdr:to>
    <xdr:sp>
      <xdr:nvSpPr>
        <xdr:cNvPr id="3" name="Line 475"/>
        <xdr:cNvSpPr>
          <a:spLocks/>
        </xdr:cNvSpPr>
      </xdr:nvSpPr>
      <xdr:spPr>
        <a:xfrm>
          <a:off x="1457325" y="59340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81</xdr:row>
      <xdr:rowOff>104775</xdr:rowOff>
    </xdr:from>
    <xdr:to>
      <xdr:col>1</xdr:col>
      <xdr:colOff>4048125</xdr:colOff>
      <xdr:row>99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29900"/>
          <a:ext cx="39243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des.gov.br/NORMAS\Pre%20CP\Anexos\FRO-C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des.gov.br/Gecon\Normas\Circulares%20em%20Vigor\Pre\ANEXOS\fro-pre%20cesta_instruc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ndes.gov.br/Gecon\NORMAS\Circulares%20em%20discuss&#227;o\Pre-esp\Anexos\2%20pre-esp%20FRO-ex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io"/>
      <sheetName val="Instru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io"/>
      <sheetName val="Instruço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ulário"/>
      <sheetName val="Instruçõ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FE185"/>
  <sheetViews>
    <sheetView showGridLines="0" showRowColHeaders="0" tabSelected="1" zoomScaleSheetLayoutView="89" workbookViewId="0" topLeftCell="A1">
      <selection activeCell="AU4" sqref="AU4"/>
    </sheetView>
  </sheetViews>
  <sheetFormatPr defaultColWidth="1.7109375" defaultRowHeight="10.5"/>
  <cols>
    <col min="1" max="1" width="1.7109375" style="3" customWidth="1"/>
    <col min="2" max="8" width="1.7109375" style="1" customWidth="1"/>
    <col min="9" max="9" width="5.28125" style="1" customWidth="1"/>
    <col min="10" max="16" width="1.7109375" style="1" customWidth="1"/>
    <col min="17" max="17" width="2.00390625" style="1" customWidth="1"/>
    <col min="18" max="18" width="1.421875" style="1" customWidth="1"/>
    <col min="19" max="19" width="1.7109375" style="1" customWidth="1"/>
    <col min="20" max="20" width="2.140625" style="1" customWidth="1"/>
    <col min="21" max="21" width="1.7109375" style="1" customWidth="1"/>
    <col min="22" max="22" width="2.140625" style="1" customWidth="1"/>
    <col min="23" max="23" width="1.7109375" style="1" customWidth="1"/>
    <col min="24" max="24" width="2.28125" style="1" customWidth="1"/>
    <col min="25" max="33" width="1.7109375" style="1" customWidth="1"/>
    <col min="34" max="34" width="1.421875" style="1" customWidth="1"/>
    <col min="35" max="74" width="1.7109375" style="1" customWidth="1"/>
    <col min="75" max="75" width="9.140625" style="4" hidden="1" customWidth="1"/>
    <col min="76" max="76" width="15.57421875" style="20" hidden="1" customWidth="1"/>
    <col min="77" max="77" width="13.421875" style="20" hidden="1" customWidth="1"/>
    <col min="78" max="78" width="14.8515625" style="20" hidden="1" customWidth="1"/>
    <col min="79" max="79" width="14.421875" style="20" hidden="1" customWidth="1"/>
    <col min="80" max="80" width="8.00390625" style="4" hidden="1" customWidth="1"/>
    <col min="81" max="85" width="11.7109375" style="4" hidden="1" customWidth="1"/>
    <col min="86" max="101" width="11.7109375" style="4" customWidth="1"/>
    <col min="102" max="16384" width="1.7109375" style="4" customWidth="1"/>
  </cols>
  <sheetData>
    <row r="1" spans="2:79" ht="24.75" customHeight="1" thickBot="1">
      <c r="B1" s="3"/>
      <c r="C1" s="3"/>
      <c r="D1" s="3"/>
      <c r="E1" s="3"/>
      <c r="F1" s="3"/>
      <c r="G1" s="3"/>
      <c r="H1" s="3"/>
      <c r="I1" s="3"/>
      <c r="J1" s="168" t="s">
        <v>179</v>
      </c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27"/>
      <c r="BC1" s="27"/>
      <c r="BD1" s="27"/>
      <c r="BE1" s="165" t="s">
        <v>181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7"/>
      <c r="BW1" s="39"/>
      <c r="BX1" s="4"/>
      <c r="BY1" s="4"/>
      <c r="BZ1" s="4"/>
      <c r="CA1" s="4"/>
    </row>
    <row r="2" spans="2:79" ht="18.75" customHeight="1">
      <c r="B2" s="3"/>
      <c r="C2" s="3"/>
      <c r="D2" s="3"/>
      <c r="E2" s="3"/>
      <c r="F2" s="3"/>
      <c r="G2" s="3"/>
      <c r="H2" s="3"/>
      <c r="I2" s="3"/>
      <c r="J2" s="334" t="s">
        <v>81</v>
      </c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27"/>
      <c r="BC2" s="27"/>
      <c r="BD2" s="27"/>
      <c r="BE2" s="165" t="s">
        <v>182</v>
      </c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BW2" s="39"/>
      <c r="BX2" s="140" t="s">
        <v>190</v>
      </c>
      <c r="BY2" s="138" t="str">
        <f>IF(OR(BY7=1,BY7=2,BY7=3,AND(BY7=4,OR(BY6=1,BY6=3))),CC21,"")</f>
        <v>TLP</v>
      </c>
      <c r="BZ2" s="142" t="s">
        <v>169</v>
      </c>
      <c r="CA2" s="137">
        <f>IF(AND($BY$7=4,BY6=2),CC23,"")</f>
      </c>
    </row>
    <row r="3" spans="2:79" ht="19.5" customHeight="1" thickBot="1">
      <c r="B3" s="3"/>
      <c r="C3" s="3"/>
      <c r="D3" s="3"/>
      <c r="E3" s="3"/>
      <c r="F3" s="3"/>
      <c r="G3" s="3"/>
      <c r="H3" s="3"/>
      <c r="I3" s="3"/>
      <c r="J3" s="342" t="s">
        <v>180</v>
      </c>
      <c r="K3" s="342"/>
      <c r="L3" s="342"/>
      <c r="M3" s="342"/>
      <c r="N3" s="342"/>
      <c r="O3" s="342"/>
      <c r="P3" s="293" t="s">
        <v>24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18"/>
      <c r="AN3" s="27"/>
      <c r="AO3" s="27"/>
      <c r="BB3" s="27"/>
      <c r="BC3" s="27"/>
      <c r="BD3" s="27"/>
      <c r="BE3" s="165" t="s">
        <v>183</v>
      </c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7"/>
      <c r="BW3" s="39"/>
      <c r="BX3" s="141" t="s">
        <v>166</v>
      </c>
      <c r="BY3" s="139" t="str">
        <f>IF(OR($BY$7=1,$BY$7=2,$BY$7=3),$CC$22," ")</f>
        <v>LIBOR</v>
      </c>
      <c r="BZ3" s="142" t="s">
        <v>170</v>
      </c>
      <c r="CA3" s="137">
        <f>IF(AND($BY$7=4,BY6=2),CC24,"")</f>
      </c>
    </row>
    <row r="4" spans="2:79" ht="9.75" customHeight="1">
      <c r="B4" s="3"/>
      <c r="C4" s="3"/>
      <c r="D4" s="3"/>
      <c r="E4" s="3"/>
      <c r="F4" s="3"/>
      <c r="G4" s="3"/>
      <c r="H4" s="3"/>
      <c r="I4" s="3"/>
      <c r="J4" s="34"/>
      <c r="K4" s="34"/>
      <c r="L4" s="34"/>
      <c r="M4" s="34"/>
      <c r="N4" s="34"/>
      <c r="O4" s="34"/>
      <c r="P4" s="33"/>
      <c r="Q4" s="259" t="s">
        <v>192</v>
      </c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33"/>
      <c r="AE4" s="33"/>
      <c r="AF4" s="33"/>
      <c r="AG4" s="33"/>
      <c r="AH4" s="33"/>
      <c r="AI4" s="33"/>
      <c r="AJ4" s="33"/>
      <c r="AK4" s="33"/>
      <c r="AL4" s="33"/>
      <c r="AM4" s="18"/>
      <c r="AN4" s="27"/>
      <c r="AO4" s="27"/>
      <c r="BB4" s="27"/>
      <c r="BC4" s="27"/>
      <c r="BD4" s="27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9"/>
      <c r="CA4" s="4"/>
    </row>
    <row r="5" spans="2:79" ht="7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BB5" s="17"/>
      <c r="BC5" s="17"/>
      <c r="BD5" s="17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39"/>
      <c r="BX5" s="4"/>
      <c r="BY5" s="4"/>
      <c r="BZ5" s="4"/>
      <c r="CA5" s="4"/>
    </row>
    <row r="6" spans="1:88" ht="11.25" customHeight="1" thickBot="1">
      <c r="A6" s="169" t="s">
        <v>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3"/>
      <c r="AL6" s="3"/>
      <c r="BC6" s="3"/>
      <c r="BD6" s="3"/>
      <c r="BE6" s="164" t="s">
        <v>25</v>
      </c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39"/>
      <c r="BX6" s="132" t="s">
        <v>38</v>
      </c>
      <c r="BY6" s="133">
        <v>0</v>
      </c>
      <c r="BZ6" s="4"/>
      <c r="CA6" s="131" t="s">
        <v>178</v>
      </c>
      <c r="CE6" s="105"/>
      <c r="CH6" s="103"/>
      <c r="CI6" s="103"/>
      <c r="CJ6" s="106"/>
    </row>
    <row r="7" spans="1:88" ht="9.75" customHeight="1">
      <c r="A7" s="171" t="s">
        <v>15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  <c r="M7" s="25"/>
      <c r="N7" s="25"/>
      <c r="O7" s="25"/>
      <c r="P7" s="25"/>
      <c r="Q7" s="25"/>
      <c r="R7" s="25"/>
      <c r="S7" s="25"/>
      <c r="T7" s="25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39"/>
      <c r="BX7" s="132" t="s">
        <v>133</v>
      </c>
      <c r="BY7" s="134">
        <v>1</v>
      </c>
      <c r="BZ7" s="4"/>
      <c r="CA7" s="25" t="b">
        <f>SUM($H$32,$H$34)=100</f>
        <v>1</v>
      </c>
      <c r="CE7" s="108"/>
      <c r="CH7" s="103"/>
      <c r="CI7" s="103"/>
      <c r="CJ7" s="103"/>
    </row>
    <row r="8" spans="1:86" ht="26.25" customHeight="1" thickBo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3"/>
      <c r="M8" s="50"/>
      <c r="N8" s="50"/>
      <c r="O8" s="50"/>
      <c r="P8" s="50"/>
      <c r="Q8" s="50"/>
      <c r="R8" s="50"/>
      <c r="S8" s="50"/>
      <c r="T8" s="50"/>
      <c r="U8" s="5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39"/>
      <c r="BX8" s="4" t="s">
        <v>104</v>
      </c>
      <c r="BY8" s="4"/>
      <c r="BZ8" s="4"/>
      <c r="CA8" s="4"/>
      <c r="CC8" s="103"/>
      <c r="CD8" s="103"/>
      <c r="CE8" s="103"/>
      <c r="CF8" s="59"/>
      <c r="CG8" s="103"/>
      <c r="CH8" s="103"/>
    </row>
    <row r="9" spans="2:86" ht="7.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"/>
      <c r="BW9" s="39"/>
      <c r="BX9" s="4" t="s">
        <v>105</v>
      </c>
      <c r="BY9" s="4"/>
      <c r="BZ9" s="4"/>
      <c r="CA9" s="4"/>
      <c r="CC9" s="397" t="s">
        <v>153</v>
      </c>
      <c r="CD9" s="397"/>
      <c r="CE9" s="398" t="s">
        <v>35</v>
      </c>
      <c r="CF9" s="398"/>
      <c r="CG9" s="108"/>
      <c r="CH9" s="110"/>
    </row>
    <row r="10" spans="1:88" ht="11.25" customHeight="1">
      <c r="A10" s="176" t="s">
        <v>17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8"/>
      <c r="BW10" s="39"/>
      <c r="BX10" s="4" t="s">
        <v>106</v>
      </c>
      <c r="BY10" s="4"/>
      <c r="BZ10" s="4"/>
      <c r="CA10" s="4"/>
      <c r="CC10" s="109" t="s">
        <v>167</v>
      </c>
      <c r="CD10" s="66" t="s">
        <v>168</v>
      </c>
      <c r="CE10" s="109" t="s">
        <v>167</v>
      </c>
      <c r="CF10" s="66" t="s">
        <v>168</v>
      </c>
      <c r="CG10" s="104"/>
      <c r="CH10" s="110"/>
      <c r="CI10" s="103"/>
      <c r="CJ10" s="103"/>
    </row>
    <row r="11" spans="1:88" ht="9.75" customHeight="1">
      <c r="A11" s="302" t="s">
        <v>33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4"/>
      <c r="AU11" s="281" t="s">
        <v>1</v>
      </c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305"/>
      <c r="BM11" s="238" t="s">
        <v>0</v>
      </c>
      <c r="BN11" s="239"/>
      <c r="BO11" s="239"/>
      <c r="BP11" s="239"/>
      <c r="BQ11" s="239"/>
      <c r="BR11" s="239"/>
      <c r="BS11" s="239"/>
      <c r="BT11" s="239"/>
      <c r="BU11" s="239"/>
      <c r="BV11" s="241"/>
      <c r="BW11" s="39"/>
      <c r="BX11" s="4" t="s">
        <v>107</v>
      </c>
      <c r="BY11" s="4"/>
      <c r="BZ11" s="4"/>
      <c r="CA11" s="4"/>
      <c r="CC11" s="59">
        <f>IF($BY$22=2,$CA$22,0)</f>
        <v>0</v>
      </c>
      <c r="CD11" s="66">
        <v>30</v>
      </c>
      <c r="CE11" s="59">
        <f>IF($BY$22=2,#REF!,0)</f>
        <v>0</v>
      </c>
      <c r="CF11" s="66">
        <v>30</v>
      </c>
      <c r="CG11" s="104"/>
      <c r="CH11" s="110"/>
      <c r="CI11" s="106"/>
      <c r="CJ11" s="103"/>
    </row>
    <row r="12" spans="1:88" ht="15" customHeight="1" thickBot="1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7"/>
      <c r="AU12" s="294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6"/>
      <c r="BM12" s="310"/>
      <c r="BN12" s="311"/>
      <c r="BO12" s="311"/>
      <c r="BP12" s="311"/>
      <c r="BQ12" s="311"/>
      <c r="BR12" s="311"/>
      <c r="BS12" s="311"/>
      <c r="BT12" s="311"/>
      <c r="BU12" s="311"/>
      <c r="BV12" s="312"/>
      <c r="BW12" s="39"/>
      <c r="BY12" s="4"/>
      <c r="BZ12" s="4"/>
      <c r="CA12" s="4"/>
      <c r="CC12" s="135"/>
      <c r="CD12" s="107"/>
      <c r="CI12" s="106"/>
      <c r="CJ12" s="103"/>
    </row>
    <row r="13" spans="1:83" ht="9" customHeight="1">
      <c r="A13" s="251" t="s">
        <v>70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252" t="s">
        <v>2</v>
      </c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4"/>
      <c r="AY13" s="238" t="s">
        <v>5</v>
      </c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41"/>
      <c r="BW13" s="39"/>
      <c r="BX13" s="4"/>
      <c r="BY13" s="69"/>
      <c r="BZ13" s="70"/>
      <c r="CA13" s="70"/>
      <c r="CC13" s="113"/>
      <c r="CD13" s="117" t="s">
        <v>134</v>
      </c>
      <c r="CE13" s="118" t="s">
        <v>135</v>
      </c>
    </row>
    <row r="14" spans="1:83" ht="15" customHeight="1" thickBot="1">
      <c r="A14" s="25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  <c r="AC14" s="245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  <c r="AY14" s="248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50"/>
      <c r="BW14" s="39"/>
      <c r="BX14" s="4" t="s">
        <v>79</v>
      </c>
      <c r="BY14" s="69"/>
      <c r="BZ14" s="71"/>
      <c r="CA14" s="59"/>
      <c r="CC14" s="136"/>
      <c r="CD14" s="121" t="b">
        <f>IF(OR(AND($BY$22=2,$BY$21=4),AND($BY$22=2,$BY$21=5)),(AND($CE$16="TJLP",$AO$37=70)),OR(AND($CE$16="TJLP",$AO$37=100),AND($CE$20&lt;&gt;"",$AO$37=100)))</f>
        <v>0</v>
      </c>
      <c r="CE14" s="122" t="b">
        <f>IF(OR(AND($BY$22=2,$BY$21=4),AND($BY$22=2,$BY$21=5)),(AND(OR($CE$24="TJFPE",#REF!="SELIC"),$AO$38=30)),OR(AND($CE$16="TJLP",$AO$37=100),AND($CE$20&lt;&gt;"",$AO$37=100)))</f>
        <v>0</v>
      </c>
    </row>
    <row r="15" spans="1:88" ht="3" customHeight="1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6"/>
      <c r="BP15" s="16"/>
      <c r="BQ15" s="16"/>
      <c r="BR15" s="16"/>
      <c r="BS15" s="16"/>
      <c r="BT15" s="16"/>
      <c r="BU15" s="16"/>
      <c r="BV15" s="16"/>
      <c r="BW15" s="39"/>
      <c r="BX15" s="68"/>
      <c r="BY15" s="69"/>
      <c r="BZ15" s="72"/>
      <c r="CA15" s="59"/>
      <c r="CC15" s="66"/>
      <c r="CD15" s="66"/>
      <c r="CE15" s="66"/>
      <c r="CF15" s="66"/>
      <c r="CG15" s="109"/>
      <c r="CH15" s="111"/>
      <c r="CI15" s="66"/>
      <c r="CJ15" s="66"/>
    </row>
    <row r="16" spans="1:88" ht="10.5" customHeight="1">
      <c r="A16" s="176" t="s">
        <v>71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8"/>
      <c r="BW16" s="39"/>
      <c r="BX16" s="68">
        <f>BX18+1</f>
        <v>2</v>
      </c>
      <c r="BY16" s="69"/>
      <c r="BZ16" s="72"/>
      <c r="CA16" s="59"/>
      <c r="CE16" s="112"/>
      <c r="CF16" s="113"/>
      <c r="CG16" s="113"/>
      <c r="CH16" s="114"/>
      <c r="CI16" s="115"/>
      <c r="CJ16" s="66"/>
    </row>
    <row r="17" spans="1:88" ht="9.75" customHeight="1">
      <c r="A17" s="251" t="s">
        <v>33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8" t="s">
        <v>108</v>
      </c>
      <c r="BB17" s="239"/>
      <c r="BC17" s="239"/>
      <c r="BD17" s="239"/>
      <c r="BE17" s="239"/>
      <c r="BF17" s="239"/>
      <c r="BG17" s="239"/>
      <c r="BH17" s="239"/>
      <c r="BI17" s="240"/>
      <c r="BJ17" s="281" t="s">
        <v>1</v>
      </c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3"/>
      <c r="BW17" s="39"/>
      <c r="BX17" s="59" t="s">
        <v>78</v>
      </c>
      <c r="BY17" s="59" t="s">
        <v>77</v>
      </c>
      <c r="BZ17" s="76" t="s">
        <v>76</v>
      </c>
      <c r="CA17" s="93" t="s">
        <v>75</v>
      </c>
      <c r="CG17" s="103"/>
      <c r="CJ17" s="66"/>
    </row>
    <row r="18" spans="1:88" ht="15" customHeight="1" thickBot="1">
      <c r="A18" s="25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84"/>
      <c r="BB18" s="285"/>
      <c r="BC18" s="285"/>
      <c r="BD18" s="285"/>
      <c r="BE18" s="285"/>
      <c r="BF18" s="285"/>
      <c r="BG18" s="285"/>
      <c r="BH18" s="285"/>
      <c r="BI18" s="286"/>
      <c r="BJ18" s="256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8"/>
      <c r="BW18" s="39"/>
      <c r="BX18" s="66">
        <v>1</v>
      </c>
      <c r="BY18" s="66">
        <v>1</v>
      </c>
      <c r="BZ18" s="66">
        <v>1</v>
      </c>
      <c r="CA18" s="59">
        <f>IF($BY$6=5,36,BX16)</f>
        <v>2</v>
      </c>
      <c r="CG18" s="103"/>
      <c r="CJ18" s="66"/>
    </row>
    <row r="19" spans="1:88" s="2" customFormat="1" ht="3" customHeight="1" thickBot="1">
      <c r="A19" s="5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54"/>
      <c r="BW19" s="40"/>
      <c r="BX19" s="59">
        <f>IF($BY$6=5,"36  meses","")</f>
      </c>
      <c r="BY19" s="59"/>
      <c r="BZ19" s="59" t="s">
        <v>143</v>
      </c>
      <c r="CA19" s="59"/>
      <c r="CG19" s="73">
        <v>2</v>
      </c>
      <c r="CH19" s="125"/>
      <c r="CI19" s="115"/>
      <c r="CJ19" s="66"/>
    </row>
    <row r="20" spans="1:88" ht="11.25" customHeight="1" thickBot="1">
      <c r="A20" s="169" t="s">
        <v>19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208"/>
      <c r="AX20" s="28"/>
      <c r="AY20" s="169" t="s">
        <v>20</v>
      </c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208"/>
      <c r="BW20" s="40"/>
      <c r="BX20" s="55" t="str">
        <f>IF($BY$6&lt;&gt;5,"3  meses","")</f>
        <v>3  meses</v>
      </c>
      <c r="BY20" s="56" t="s">
        <v>48</v>
      </c>
      <c r="BZ20" s="55" t="s">
        <v>109</v>
      </c>
      <c r="CA20" s="55"/>
      <c r="CC20" s="116"/>
      <c r="CD20" s="144" t="s">
        <v>171</v>
      </c>
      <c r="CE20" s="145" t="s">
        <v>172</v>
      </c>
      <c r="CF20" s="146" t="s">
        <v>173</v>
      </c>
      <c r="CG20" s="147" t="str">
        <f>IF(OR(AND(CE21="VERDADEIRO",Q22&lt;=D22),AND(CE22="VERDADEIRO",Q22&lt;=(D22*0.8)),AND(CE23="VERDADEIRO",Q22&lt;=(D22*0.8)),AND(CE24="VERDADEIRO",Q22&lt;=(D22*0.8))),"CERTO",IF(Q22="","","ERRO"))</f>
        <v>CERTO</v>
      </c>
      <c r="CH20" s="128"/>
      <c r="CI20" s="129"/>
      <c r="CJ20" s="127"/>
    </row>
    <row r="21" spans="1:88" ht="12" customHeight="1">
      <c r="A21" s="242" t="s">
        <v>51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4"/>
      <c r="N21" s="335" t="s">
        <v>37</v>
      </c>
      <c r="O21" s="243"/>
      <c r="P21" s="243"/>
      <c r="Q21" s="243"/>
      <c r="R21" s="243"/>
      <c r="S21" s="243"/>
      <c r="T21" s="243"/>
      <c r="U21" s="243"/>
      <c r="V21" s="243"/>
      <c r="W21" s="243"/>
      <c r="X21" s="244"/>
      <c r="Y21" s="336" t="s">
        <v>53</v>
      </c>
      <c r="Z21" s="337"/>
      <c r="AA21" s="337"/>
      <c r="AB21" s="337"/>
      <c r="AC21" s="337"/>
      <c r="AD21" s="337"/>
      <c r="AE21" s="337"/>
      <c r="AF21" s="337"/>
      <c r="AG21" s="337"/>
      <c r="AH21" s="338"/>
      <c r="AI21" s="242" t="s">
        <v>54</v>
      </c>
      <c r="AJ21" s="243"/>
      <c r="AK21" s="243"/>
      <c r="AL21" s="243"/>
      <c r="AM21" s="243"/>
      <c r="AN21" s="243"/>
      <c r="AO21" s="243"/>
      <c r="AP21" s="375"/>
      <c r="AQ21" s="376"/>
      <c r="AR21" s="376"/>
      <c r="AS21" s="376"/>
      <c r="AT21" s="376"/>
      <c r="AU21" s="376"/>
      <c r="AV21" s="376"/>
      <c r="AW21" s="377"/>
      <c r="AX21" s="29"/>
      <c r="AY21" s="278" t="s">
        <v>3</v>
      </c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80"/>
      <c r="BW21" s="41"/>
      <c r="BX21" s="55" t="str">
        <f>IF($BY$6&lt;&gt;5,"4  meses","")</f>
        <v>4  meses</v>
      </c>
      <c r="BY21" s="56" t="str">
        <f>IF($BY$6&lt;&gt;5,"2  parcelas","")</f>
        <v>2  parcelas</v>
      </c>
      <c r="BZ21" s="55" t="s">
        <v>110</v>
      </c>
      <c r="CA21" s="67"/>
      <c r="CC21" s="119" t="s">
        <v>191</v>
      </c>
      <c r="CD21" s="148" t="s">
        <v>174</v>
      </c>
      <c r="CE21" s="120" t="str">
        <f>IF(OR($BY$7=1,$BY$7=2,$BY$7=3),"VERDADEIRO","FALSO")</f>
        <v>VERDADEIRO</v>
      </c>
      <c r="CF21" s="149">
        <v>100</v>
      </c>
      <c r="CG21" s="131"/>
      <c r="CH21" s="131"/>
      <c r="CJ21" s="131"/>
    </row>
    <row r="22" spans="1:88" ht="15" customHeight="1">
      <c r="A22" s="306" t="s">
        <v>22</v>
      </c>
      <c r="B22" s="307"/>
      <c r="C22" s="307"/>
      <c r="D22" s="174"/>
      <c r="E22" s="174"/>
      <c r="F22" s="174"/>
      <c r="G22" s="174"/>
      <c r="H22" s="174"/>
      <c r="I22" s="174"/>
      <c r="J22" s="174"/>
      <c r="K22" s="174"/>
      <c r="L22" s="174"/>
      <c r="M22" s="175"/>
      <c r="N22" s="162" t="s">
        <v>22</v>
      </c>
      <c r="O22" s="163"/>
      <c r="P22" s="163"/>
      <c r="Q22" s="174"/>
      <c r="R22" s="174"/>
      <c r="S22" s="174"/>
      <c r="T22" s="174"/>
      <c r="U22" s="174"/>
      <c r="V22" s="174"/>
      <c r="W22" s="174"/>
      <c r="X22" s="174"/>
      <c r="Y22" s="339"/>
      <c r="Z22" s="340"/>
      <c r="AA22" s="340"/>
      <c r="AB22" s="340"/>
      <c r="AC22" s="340"/>
      <c r="AD22" s="340"/>
      <c r="AE22" s="340"/>
      <c r="AF22" s="340"/>
      <c r="AG22" s="340"/>
      <c r="AH22" s="341"/>
      <c r="AI22" s="343"/>
      <c r="AJ22" s="344"/>
      <c r="AK22" s="344"/>
      <c r="AL22" s="344"/>
      <c r="AM22" s="344"/>
      <c r="AN22" s="344"/>
      <c r="AO22" s="344"/>
      <c r="AP22" s="378"/>
      <c r="AQ22" s="379"/>
      <c r="AR22" s="379"/>
      <c r="AS22" s="379"/>
      <c r="AT22" s="379"/>
      <c r="AU22" s="379"/>
      <c r="AV22" s="379"/>
      <c r="AW22" s="380"/>
      <c r="AX22" s="58"/>
      <c r="AY22" s="199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1"/>
      <c r="BW22" s="52"/>
      <c r="BX22" s="55" t="str">
        <f>IF($BY$6&lt;&gt;5,"5  meses","")</f>
        <v>5  meses</v>
      </c>
      <c r="BY22" s="56" t="str">
        <f>IF($BY$6&lt;&gt;5,"3  parcelas","")</f>
        <v>3  parcelas</v>
      </c>
      <c r="BZ22" s="57" t="s">
        <v>111</v>
      </c>
      <c r="CA22" s="73"/>
      <c r="CC22" s="123" t="s">
        <v>159</v>
      </c>
      <c r="CD22" s="150" t="s">
        <v>175</v>
      </c>
      <c r="CE22" s="124" t="str">
        <f>IF($BY$6=2,"VERDADEIRO","FALSO")</f>
        <v>FALSO</v>
      </c>
      <c r="CF22" s="151">
        <v>80</v>
      </c>
      <c r="CH22" s="131"/>
      <c r="CJ22" s="131"/>
    </row>
    <row r="23" spans="1:84" ht="12" customHeight="1">
      <c r="A23" s="381" t="s">
        <v>34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4"/>
      <c r="Z23" s="272" t="s">
        <v>49</v>
      </c>
      <c r="AA23" s="273"/>
      <c r="AB23" s="273"/>
      <c r="AC23" s="273"/>
      <c r="AD23" s="273"/>
      <c r="AE23" s="273"/>
      <c r="AF23" s="273"/>
      <c r="AG23" s="274"/>
      <c r="AH23" s="233" t="s">
        <v>49</v>
      </c>
      <c r="AI23" s="233"/>
      <c r="AJ23" s="233"/>
      <c r="AK23" s="233"/>
      <c r="AL23" s="233"/>
      <c r="AM23" s="233"/>
      <c r="AN23" s="233"/>
      <c r="AO23" s="382"/>
      <c r="AP23" s="232" t="s">
        <v>147</v>
      </c>
      <c r="AQ23" s="233"/>
      <c r="AR23" s="233"/>
      <c r="AS23" s="233"/>
      <c r="AT23" s="233"/>
      <c r="AU23" s="233"/>
      <c r="AV23" s="233"/>
      <c r="AW23" s="234"/>
      <c r="AX23" s="24"/>
      <c r="AY23" s="199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1"/>
      <c r="BW23" s="52"/>
      <c r="BX23" s="55" t="str">
        <f>IF($BY$6&lt;&gt;5,"6  meses","")</f>
        <v>6  meses</v>
      </c>
      <c r="BY23" s="56" t="str">
        <f>IF($BY$6&lt;&gt;5,"4  parcelas","")</f>
        <v>4  parcelas</v>
      </c>
      <c r="BZ23" s="55" t="s">
        <v>112</v>
      </c>
      <c r="CA23" s="69"/>
      <c r="CC23" s="161" t="s">
        <v>35</v>
      </c>
      <c r="CD23" s="143" t="s">
        <v>176</v>
      </c>
      <c r="CE23" s="126" t="str">
        <f>IF($BY$6=3,"VERDADEIRO","FALSO")</f>
        <v>FALSO</v>
      </c>
      <c r="CF23" s="152">
        <v>80</v>
      </c>
    </row>
    <row r="24" spans="1:84" ht="9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407" t="s">
        <v>69</v>
      </c>
      <c r="AA24" s="407"/>
      <c r="AB24" s="407"/>
      <c r="AC24" s="407"/>
      <c r="AD24" s="407"/>
      <c r="AE24" s="407"/>
      <c r="AF24" s="407"/>
      <c r="AG24" s="408"/>
      <c r="AH24" s="236" t="s">
        <v>50</v>
      </c>
      <c r="AI24" s="236"/>
      <c r="AJ24" s="236"/>
      <c r="AK24" s="236"/>
      <c r="AL24" s="236"/>
      <c r="AM24" s="236"/>
      <c r="AN24" s="236"/>
      <c r="AO24" s="383"/>
      <c r="AP24" s="235" t="s">
        <v>148</v>
      </c>
      <c r="AQ24" s="236"/>
      <c r="AR24" s="236"/>
      <c r="AS24" s="236"/>
      <c r="AT24" s="236"/>
      <c r="AU24" s="236"/>
      <c r="AV24" s="236"/>
      <c r="AW24" s="237"/>
      <c r="AX24" s="24"/>
      <c r="AY24" s="199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1"/>
      <c r="BW24" s="52"/>
      <c r="BX24" s="55" t="str">
        <f>IF($BY$6&lt;&gt;5,"7  meses","")</f>
        <v>7  meses</v>
      </c>
      <c r="BY24" s="56" t="str">
        <f>IF($BY$6&lt;&gt;5,"5  parcelas","")</f>
        <v>5  parcelas</v>
      </c>
      <c r="BZ24" s="55" t="s">
        <v>113</v>
      </c>
      <c r="CA24" s="55"/>
      <c r="CC24" s="130" t="s">
        <v>153</v>
      </c>
      <c r="CD24" s="153" t="s">
        <v>177</v>
      </c>
      <c r="CE24" s="126" t="str">
        <f>IF($BY$6=1,"VERDADEIRO","FALSO")</f>
        <v>FALSO</v>
      </c>
      <c r="CF24" s="154">
        <v>80</v>
      </c>
    </row>
    <row r="25" spans="1:84" ht="8.25" customHeight="1">
      <c r="A25" s="308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77"/>
      <c r="Q25" s="77"/>
      <c r="R25" s="77"/>
      <c r="S25" s="77"/>
      <c r="T25" s="77"/>
      <c r="U25" s="77"/>
      <c r="V25" s="77"/>
      <c r="W25" s="77"/>
      <c r="X25" s="77"/>
      <c r="Y25" s="78"/>
      <c r="Z25" s="390">
        <f>IF($BY$6=5,36,IF(BX16=2,"",BX16))</f>
      </c>
      <c r="AA25" s="390"/>
      <c r="AB25" s="390"/>
      <c r="AC25" s="390"/>
      <c r="AD25" s="390"/>
      <c r="AE25" s="390"/>
      <c r="AF25" s="390"/>
      <c r="AG25" s="391"/>
      <c r="AH25" s="402" t="e">
        <f>#REF!+2</f>
        <v>#REF!</v>
      </c>
      <c r="AI25" s="403"/>
      <c r="AJ25" s="403"/>
      <c r="AK25" s="403"/>
      <c r="AL25" s="403"/>
      <c r="AM25" s="403"/>
      <c r="AN25" s="403"/>
      <c r="AO25" s="404"/>
      <c r="AP25" s="226" t="e">
        <f>#REF!</f>
        <v>#REF!</v>
      </c>
      <c r="AQ25" s="227"/>
      <c r="AR25" s="227"/>
      <c r="AS25" s="227"/>
      <c r="AT25" s="227"/>
      <c r="AU25" s="227"/>
      <c r="AV25" s="227"/>
      <c r="AW25" s="228"/>
      <c r="AX25" s="60"/>
      <c r="AY25" s="199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1"/>
      <c r="BW25" s="42"/>
      <c r="BX25" s="55" t="str">
        <f>IF($BY$6&lt;&gt;5,"8  meses","")</f>
        <v>8  meses</v>
      </c>
      <c r="BY25" s="56" t="str">
        <f>IF($BY$6&lt;&gt;5,"6  parcelas","")</f>
        <v>6  parcelas</v>
      </c>
      <c r="BZ25" s="55" t="s">
        <v>114</v>
      </c>
      <c r="CA25" s="55"/>
      <c r="CD25" s="155"/>
      <c r="CE25" s="156"/>
      <c r="CF25" s="157"/>
    </row>
    <row r="26" spans="1:84" ht="8.25" customHeight="1" thickBot="1">
      <c r="A26" s="309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79"/>
      <c r="Q26" s="79"/>
      <c r="R26" s="79"/>
      <c r="S26" s="79"/>
      <c r="T26" s="79"/>
      <c r="U26" s="79"/>
      <c r="V26" s="79"/>
      <c r="W26" s="79"/>
      <c r="X26" s="79"/>
      <c r="Y26" s="80"/>
      <c r="Z26" s="392"/>
      <c r="AA26" s="392"/>
      <c r="AB26" s="392"/>
      <c r="AC26" s="392"/>
      <c r="AD26" s="392"/>
      <c r="AE26" s="392"/>
      <c r="AF26" s="392"/>
      <c r="AG26" s="393"/>
      <c r="AH26" s="405"/>
      <c r="AI26" s="163"/>
      <c r="AJ26" s="163"/>
      <c r="AK26" s="163"/>
      <c r="AL26" s="163"/>
      <c r="AM26" s="163"/>
      <c r="AN26" s="163"/>
      <c r="AO26" s="406"/>
      <c r="AP26" s="229"/>
      <c r="AQ26" s="230"/>
      <c r="AR26" s="230"/>
      <c r="AS26" s="230"/>
      <c r="AT26" s="230"/>
      <c r="AU26" s="230"/>
      <c r="AV26" s="230"/>
      <c r="AW26" s="231"/>
      <c r="AX26" s="60"/>
      <c r="AY26" s="199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1"/>
      <c r="BW26" s="43"/>
      <c r="BX26" s="55" t="str">
        <f>IF($BY$6&lt;&gt;5,"9  meses","")</f>
        <v>9  meses</v>
      </c>
      <c r="BY26" s="56" t="str">
        <f>IF($BY$6&lt;&gt;5,"7  parcelas","")</f>
        <v>7  parcelas</v>
      </c>
      <c r="BZ26" s="55" t="s">
        <v>115</v>
      </c>
      <c r="CA26" s="55"/>
      <c r="CD26" s="158"/>
      <c r="CE26" s="159"/>
      <c r="CF26" s="160"/>
    </row>
    <row r="27" spans="1:79" ht="12" customHeight="1">
      <c r="A27" s="394" t="s">
        <v>55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6"/>
      <c r="Q27" s="192" t="s">
        <v>56</v>
      </c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4"/>
      <c r="AF27" s="193" t="s">
        <v>57</v>
      </c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418"/>
      <c r="AX27" s="60"/>
      <c r="AY27" s="202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4"/>
      <c r="BW27" s="44"/>
      <c r="BX27" s="55" t="str">
        <f>IF($BY$6&lt;&gt;5,"10  meses","")</f>
        <v>10  meses</v>
      </c>
      <c r="BY27" s="56" t="str">
        <f>IF($BY$6&lt;&gt;5,"8  parcelas","")</f>
        <v>8  parcelas</v>
      </c>
      <c r="BZ27" s="55" t="s">
        <v>116</v>
      </c>
      <c r="CA27" s="55"/>
    </row>
    <row r="28" spans="1:79" ht="15" customHeight="1">
      <c r="A28" s="345">
        <f>DATE(YEAR(AF28),MONTH(AF28),CB72)</f>
        <v>91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346"/>
      <c r="Q28" s="345">
        <f>DATE(YEAR(AF28),MONTH(AF28)-BY18+1,15)</f>
        <v>75</v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3">
        <f>DATE(YEAR(BX71),MONTH(BX71)+CA18,15)</f>
        <v>75</v>
      </c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5"/>
      <c r="AX28" s="60"/>
      <c r="AY28" s="412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4"/>
      <c r="BK28" s="409" t="s">
        <v>58</v>
      </c>
      <c r="BL28" s="410"/>
      <c r="BM28" s="410"/>
      <c r="BN28" s="410"/>
      <c r="BO28" s="410"/>
      <c r="BP28" s="410"/>
      <c r="BQ28" s="410"/>
      <c r="BR28" s="410"/>
      <c r="BS28" s="410"/>
      <c r="BT28" s="410"/>
      <c r="BU28" s="410"/>
      <c r="BV28" s="411"/>
      <c r="BW28" s="40"/>
      <c r="BX28" s="55" t="str">
        <f>IF($BY$6&lt;&gt;5,"11  meses","")</f>
        <v>11  meses</v>
      </c>
      <c r="BY28" s="56" t="str">
        <f>IF($BY$6&lt;&gt;5,"9  parcelas","")</f>
        <v>9  parcelas</v>
      </c>
      <c r="BZ28" s="55" t="s">
        <v>117</v>
      </c>
      <c r="CA28" s="55"/>
    </row>
    <row r="29" spans="1:79" ht="9" customHeight="1">
      <c r="A29" s="220" t="s">
        <v>11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350" t="s">
        <v>72</v>
      </c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0" t="s">
        <v>74</v>
      </c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60"/>
      <c r="AL29" s="384" t="s">
        <v>60</v>
      </c>
      <c r="AM29" s="384"/>
      <c r="AN29" s="384"/>
      <c r="AO29" s="384"/>
      <c r="AP29" s="384"/>
      <c r="AQ29" s="384"/>
      <c r="AR29" s="384" t="s">
        <v>26</v>
      </c>
      <c r="AS29" s="384"/>
      <c r="AT29" s="384"/>
      <c r="AU29" s="384"/>
      <c r="AV29" s="384"/>
      <c r="AW29" s="385"/>
      <c r="AX29" s="24"/>
      <c r="AY29" s="369" t="s">
        <v>189</v>
      </c>
      <c r="AZ29" s="370"/>
      <c r="BA29" s="370"/>
      <c r="BB29" s="370"/>
      <c r="BC29" s="370"/>
      <c r="BD29" s="370"/>
      <c r="BE29" s="370"/>
      <c r="BF29" s="370"/>
      <c r="BG29" s="370"/>
      <c r="BH29" s="370"/>
      <c r="BI29" s="370"/>
      <c r="BJ29" s="371"/>
      <c r="BK29" s="298"/>
      <c r="BL29" s="299"/>
      <c r="BM29" s="299"/>
      <c r="BN29" s="299"/>
      <c r="BO29" s="299"/>
      <c r="BP29" s="264" t="s">
        <v>23</v>
      </c>
      <c r="BQ29" s="264"/>
      <c r="BR29" s="264"/>
      <c r="BS29" s="264"/>
      <c r="BT29" s="264"/>
      <c r="BU29" s="264"/>
      <c r="BV29" s="265"/>
      <c r="BW29" s="52"/>
      <c r="BX29" s="55" t="str">
        <f>IF($BY$6&lt;&gt;5,"12  meses","")</f>
        <v>12  meses</v>
      </c>
      <c r="BY29" s="56" t="str">
        <f>IF($BY$6&lt;&gt;5,"10  parcelas","")</f>
        <v>10  parcelas</v>
      </c>
      <c r="BZ29" s="55" t="s">
        <v>118</v>
      </c>
      <c r="CA29" s="55"/>
    </row>
    <row r="30" spans="1:79" ht="9" customHeight="1">
      <c r="A30" s="222" t="s">
        <v>47</v>
      </c>
      <c r="B30" s="223"/>
      <c r="C30" s="223"/>
      <c r="D30" s="223"/>
      <c r="E30" s="223"/>
      <c r="F30" s="223"/>
      <c r="G30" s="223"/>
      <c r="H30" s="216" t="s">
        <v>73</v>
      </c>
      <c r="I30" s="217"/>
      <c r="J30" s="217"/>
      <c r="K30" s="217"/>
      <c r="L30" s="217"/>
      <c r="M30" s="217"/>
      <c r="N30" s="352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2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61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7"/>
      <c r="AX30" s="24"/>
      <c r="AY30" s="372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4"/>
      <c r="BK30" s="300"/>
      <c r="BL30" s="301"/>
      <c r="BM30" s="301"/>
      <c r="BN30" s="301"/>
      <c r="BO30" s="301"/>
      <c r="BP30" s="266"/>
      <c r="BQ30" s="266"/>
      <c r="BR30" s="266"/>
      <c r="BS30" s="266"/>
      <c r="BT30" s="266"/>
      <c r="BU30" s="266"/>
      <c r="BV30" s="267"/>
      <c r="BW30" s="52"/>
      <c r="BX30" s="55" t="str">
        <f>IF($BY$6&lt;&gt;5,"13  meses","")</f>
        <v>13  meses</v>
      </c>
      <c r="BY30" s="56" t="str">
        <f>IF($BY$6&lt;&gt;5,"11  parcelas","")</f>
        <v>11  parcelas</v>
      </c>
      <c r="BZ30" s="55" t="s">
        <v>119</v>
      </c>
      <c r="CA30" s="55"/>
    </row>
    <row r="31" spans="1:79" ht="9" customHeight="1">
      <c r="A31" s="224"/>
      <c r="B31" s="225"/>
      <c r="C31" s="225"/>
      <c r="D31" s="225"/>
      <c r="E31" s="225"/>
      <c r="F31" s="225"/>
      <c r="G31" s="225"/>
      <c r="H31" s="218"/>
      <c r="I31" s="219"/>
      <c r="J31" s="219"/>
      <c r="K31" s="219"/>
      <c r="L31" s="219"/>
      <c r="M31" s="219"/>
      <c r="N31" s="354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4"/>
      <c r="AA31" s="355"/>
      <c r="AB31" s="355"/>
      <c r="AC31" s="355"/>
      <c r="AD31" s="355"/>
      <c r="AE31" s="355"/>
      <c r="AF31" s="355"/>
      <c r="AG31" s="355"/>
      <c r="AH31" s="355"/>
      <c r="AI31" s="355"/>
      <c r="AJ31" s="355"/>
      <c r="AK31" s="362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9"/>
      <c r="AX31" s="24"/>
      <c r="AY31" s="399" t="s">
        <v>59</v>
      </c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1"/>
      <c r="BW31" s="52"/>
      <c r="BX31" s="55" t="str">
        <f>IF($BY$6&lt;&gt;5,"14  meses","")</f>
        <v>14  meses</v>
      </c>
      <c r="BY31" s="56" t="str">
        <f>IF($BY$6&lt;&gt;5,"12  parcelas","")</f>
        <v>12  parcelas</v>
      </c>
      <c r="BZ31" s="55" t="s">
        <v>120</v>
      </c>
      <c r="CA31" s="55"/>
    </row>
    <row r="32" spans="1:79" s="2" customFormat="1" ht="9" customHeight="1">
      <c r="A32" s="26"/>
      <c r="B32" s="23"/>
      <c r="C32" s="23"/>
      <c r="D32" s="23"/>
      <c r="E32" s="23"/>
      <c r="F32" s="23"/>
      <c r="G32" s="23"/>
      <c r="H32" s="318">
        <f>IF(AND($BY$2="TLP",$CA$2=""),100,IF(AND($BY$2="TLP",$CA$2="TJFPE"),30,0))</f>
        <v>100</v>
      </c>
      <c r="I32" s="268"/>
      <c r="J32" s="268"/>
      <c r="K32" s="268"/>
      <c r="L32" s="268" t="s">
        <v>23</v>
      </c>
      <c r="M32" s="269"/>
      <c r="N32" s="318" t="s">
        <v>22</v>
      </c>
      <c r="O32" s="268"/>
      <c r="P32" s="268"/>
      <c r="Q32" s="268">
        <f>H32/100*$Q$22</f>
        <v>0</v>
      </c>
      <c r="R32" s="268"/>
      <c r="S32" s="268"/>
      <c r="T32" s="268"/>
      <c r="U32" s="268"/>
      <c r="V32" s="268"/>
      <c r="W32" s="268"/>
      <c r="X32" s="268"/>
      <c r="Y32" s="268"/>
      <c r="Z32" s="318" t="s">
        <v>62</v>
      </c>
      <c r="AA32" s="268"/>
      <c r="AB32" s="268"/>
      <c r="AC32" s="268">
        <f>Q32*$AI$22</f>
        <v>0</v>
      </c>
      <c r="AD32" s="268"/>
      <c r="AE32" s="268"/>
      <c r="AF32" s="268"/>
      <c r="AG32" s="268"/>
      <c r="AH32" s="268"/>
      <c r="AI32" s="268"/>
      <c r="AJ32" s="268"/>
      <c r="AK32" s="269"/>
      <c r="AL32" s="415"/>
      <c r="AM32" s="415"/>
      <c r="AN32" s="415"/>
      <c r="AO32" s="415"/>
      <c r="AP32" s="363" t="s">
        <v>23</v>
      </c>
      <c r="AQ32" s="364"/>
      <c r="AR32" s="356"/>
      <c r="AS32" s="356"/>
      <c r="AT32" s="356"/>
      <c r="AU32" s="356"/>
      <c r="AV32" s="287" t="s">
        <v>23</v>
      </c>
      <c r="AW32" s="288"/>
      <c r="AX32" s="61"/>
      <c r="AY32" s="399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1"/>
      <c r="BW32" s="52"/>
      <c r="BX32" s="55" t="str">
        <f>IF($BY$6&lt;&gt;5,"15  meses","")</f>
        <v>15  meses</v>
      </c>
      <c r="BY32" s="56" t="str">
        <f>IF(OR($BY$6=3,$BY$7&lt;=3),"13 parcelas","")</f>
        <v>13 parcelas</v>
      </c>
      <c r="BZ32" s="55" t="s">
        <v>121</v>
      </c>
      <c r="CA32" s="55"/>
    </row>
    <row r="33" spans="1:79" ht="9" customHeight="1" thickBot="1">
      <c r="A33" s="26"/>
      <c r="B33" s="23"/>
      <c r="C33" s="23"/>
      <c r="D33" s="23"/>
      <c r="E33" s="23"/>
      <c r="F33" s="23"/>
      <c r="G33" s="23"/>
      <c r="H33" s="321"/>
      <c r="I33" s="270"/>
      <c r="J33" s="270"/>
      <c r="K33" s="270"/>
      <c r="L33" s="270"/>
      <c r="M33" s="271"/>
      <c r="N33" s="319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19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59"/>
      <c r="AL33" s="416"/>
      <c r="AM33" s="416"/>
      <c r="AN33" s="416"/>
      <c r="AO33" s="416"/>
      <c r="AP33" s="365"/>
      <c r="AQ33" s="366"/>
      <c r="AR33" s="357"/>
      <c r="AS33" s="357"/>
      <c r="AT33" s="357"/>
      <c r="AU33" s="357"/>
      <c r="AV33" s="289"/>
      <c r="AW33" s="290"/>
      <c r="AX33" s="61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52"/>
      <c r="BX33" s="55" t="str">
        <f>IF($BY$6&lt;&gt;5,"16  meses","")</f>
        <v>16  meses</v>
      </c>
      <c r="BY33" s="56" t="str">
        <f>IF(OR($BY$6=3,$BY$7&lt;=3),"14 parcelas","")</f>
        <v>14 parcelas</v>
      </c>
      <c r="BZ33" s="55" t="s">
        <v>122</v>
      </c>
      <c r="CA33" s="55"/>
    </row>
    <row r="34" spans="1:79" ht="9" customHeight="1">
      <c r="A34" s="26"/>
      <c r="B34" s="23"/>
      <c r="C34" s="23"/>
      <c r="D34" s="23"/>
      <c r="E34" s="23"/>
      <c r="F34" s="23"/>
      <c r="G34" s="23"/>
      <c r="H34" s="318">
        <f>IF(AND($BY$2="TLP",$CA$2="TJFPE"),70,IF(AND($BY$2="",$CA$2="TJFPE"),100,0))</f>
        <v>0</v>
      </c>
      <c r="I34" s="268"/>
      <c r="J34" s="268"/>
      <c r="K34" s="268"/>
      <c r="L34" s="268" t="s">
        <v>23</v>
      </c>
      <c r="M34" s="269"/>
      <c r="N34" s="318" t="s">
        <v>22</v>
      </c>
      <c r="O34" s="268"/>
      <c r="P34" s="268"/>
      <c r="Q34" s="268">
        <f>H34/100*$Q$22</f>
        <v>0</v>
      </c>
      <c r="R34" s="268"/>
      <c r="S34" s="268"/>
      <c r="T34" s="268"/>
      <c r="U34" s="268"/>
      <c r="V34" s="268"/>
      <c r="W34" s="268"/>
      <c r="X34" s="268"/>
      <c r="Y34" s="268"/>
      <c r="Z34" s="318" t="s">
        <v>62</v>
      </c>
      <c r="AA34" s="268"/>
      <c r="AB34" s="268"/>
      <c r="AC34" s="268">
        <f>Q34*$AI$22</f>
        <v>0</v>
      </c>
      <c r="AD34" s="268"/>
      <c r="AE34" s="268"/>
      <c r="AF34" s="268"/>
      <c r="AG34" s="268"/>
      <c r="AH34" s="268"/>
      <c r="AI34" s="268"/>
      <c r="AJ34" s="268"/>
      <c r="AK34" s="269"/>
      <c r="AL34" s="416"/>
      <c r="AM34" s="416"/>
      <c r="AN34" s="416"/>
      <c r="AO34" s="416"/>
      <c r="AP34" s="365"/>
      <c r="AQ34" s="366"/>
      <c r="AR34" s="357"/>
      <c r="AS34" s="357"/>
      <c r="AT34" s="357"/>
      <c r="AU34" s="357"/>
      <c r="AV34" s="289"/>
      <c r="AW34" s="290"/>
      <c r="AX34" s="61"/>
      <c r="AY34" s="84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6"/>
      <c r="BW34" s="52"/>
      <c r="BX34" s="55" t="str">
        <f>IF($BY$6&lt;&gt;5,"17  meses","")</f>
        <v>17  meses</v>
      </c>
      <c r="BY34" s="56" t="str">
        <f>IF(OR($BY$6=3,$BY$7&lt;=3),"15 parcelas","")</f>
        <v>15 parcelas</v>
      </c>
      <c r="BZ34" s="55" t="s">
        <v>123</v>
      </c>
      <c r="CA34" s="55"/>
    </row>
    <row r="35" spans="1:79" ht="9" customHeight="1" thickBot="1">
      <c r="A35" s="37"/>
      <c r="B35" s="38"/>
      <c r="C35" s="38"/>
      <c r="D35" s="38"/>
      <c r="E35" s="38"/>
      <c r="F35" s="38"/>
      <c r="G35" s="38"/>
      <c r="H35" s="321"/>
      <c r="I35" s="270"/>
      <c r="J35" s="270"/>
      <c r="K35" s="270"/>
      <c r="L35" s="270"/>
      <c r="M35" s="271"/>
      <c r="N35" s="321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321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1"/>
      <c r="AL35" s="417"/>
      <c r="AM35" s="417"/>
      <c r="AN35" s="417"/>
      <c r="AO35" s="417"/>
      <c r="AP35" s="367"/>
      <c r="AQ35" s="368"/>
      <c r="AR35" s="358"/>
      <c r="AS35" s="358"/>
      <c r="AT35" s="358"/>
      <c r="AU35" s="358"/>
      <c r="AV35" s="291"/>
      <c r="AW35" s="292"/>
      <c r="AX35" s="61"/>
      <c r="AY35" s="87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9"/>
      <c r="BW35" s="52"/>
      <c r="BX35" s="55" t="str">
        <f>IF($BY$6&lt;&gt;5,"18  meses","")</f>
        <v>18  meses</v>
      </c>
      <c r="BY35" s="56" t="str">
        <f>IF(OR($BY$6=3,$BY$7&lt;=3),"16 parcelas","")</f>
        <v>16 parcelas</v>
      </c>
      <c r="BZ35" s="55" t="s">
        <v>124</v>
      </c>
      <c r="CA35" s="55"/>
    </row>
    <row r="36" spans="1:79" ht="3" customHeight="1" thickBo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 t="s">
        <v>36</v>
      </c>
      <c r="U36" s="23"/>
      <c r="V36" s="23"/>
      <c r="W36" s="23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3"/>
      <c r="BX36" s="55" t="str">
        <f>IF($BY$6&lt;&gt;5,"19  meses","")</f>
        <v>19  meses</v>
      </c>
      <c r="BY36" s="56" t="str">
        <f>IF(OR($BY$6=3,$BY$7&lt;=3),"17 parcelas","")</f>
        <v>17 parcelas</v>
      </c>
      <c r="BZ36" s="55" t="s">
        <v>137</v>
      </c>
      <c r="CA36" s="55"/>
    </row>
    <row r="37" spans="1:79" ht="15" customHeight="1">
      <c r="A37" s="169" t="s">
        <v>61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208"/>
      <c r="BW37" s="39"/>
      <c r="BX37" s="55" t="str">
        <f>IF($BY$6&lt;&gt;5,"20  meses","")</f>
        <v>20  meses</v>
      </c>
      <c r="BY37" s="56" t="str">
        <f>IF(OR($BY$6=3,$BY$7&lt;=3),"18 parcelas","")</f>
        <v>18 parcelas</v>
      </c>
      <c r="BZ37" s="55" t="s">
        <v>138</v>
      </c>
      <c r="CA37" s="55"/>
    </row>
    <row r="38" spans="1:79" ht="9.75" customHeight="1">
      <c r="A38" s="327" t="s">
        <v>63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0"/>
      <c r="N38" s="30"/>
      <c r="O38" s="30"/>
      <c r="P38" s="188" t="s">
        <v>22</v>
      </c>
      <c r="Q38" s="188"/>
      <c r="R38" s="188"/>
      <c r="S38" s="209">
        <f>Q22</f>
        <v>0</v>
      </c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0"/>
      <c r="AP38" s="347" t="s">
        <v>62</v>
      </c>
      <c r="AQ38" s="188"/>
      <c r="AR38" s="188"/>
      <c r="AS38" s="188"/>
      <c r="AT38" s="188"/>
      <c r="AU38" s="188"/>
      <c r="AV38" s="188"/>
      <c r="AW38" s="188"/>
      <c r="AX38" s="195">
        <f>S38*AI22</f>
        <v>0</v>
      </c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6"/>
      <c r="BW38" s="39"/>
      <c r="BX38" s="55" t="str">
        <f>IF($BY$6&lt;&gt;5,"21  meses","")</f>
        <v>21  meses</v>
      </c>
      <c r="BY38" s="56">
        <f>IF(AND($BY$6=3,$BY$7=4),"19 parcelas","")</f>
      </c>
      <c r="BZ38" s="55" t="s">
        <v>139</v>
      </c>
      <c r="CA38" s="55"/>
    </row>
    <row r="39" spans="1:79" ht="15" customHeight="1" thickBot="1">
      <c r="A39" s="329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5"/>
      <c r="N39" s="35"/>
      <c r="O39" s="35"/>
      <c r="P39" s="189"/>
      <c r="Q39" s="189"/>
      <c r="R39" s="189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2"/>
      <c r="AP39" s="348"/>
      <c r="AQ39" s="349"/>
      <c r="AR39" s="349"/>
      <c r="AS39" s="349"/>
      <c r="AT39" s="349"/>
      <c r="AU39" s="349"/>
      <c r="AV39" s="349"/>
      <c r="AW39" s="349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8"/>
      <c r="BW39" s="39"/>
      <c r="BX39" s="55" t="str">
        <f>IF($BY$6&lt;&gt;5,"22  meses","")</f>
        <v>22  meses</v>
      </c>
      <c r="BY39" s="56">
        <f>IF(AND($BY$6=3,$BY$7=4),"20 parcelas","")</f>
      </c>
      <c r="BZ39" s="55" t="s">
        <v>140</v>
      </c>
      <c r="CA39" s="55"/>
    </row>
    <row r="40" spans="1:79" ht="15.75" customHeight="1">
      <c r="A40" s="169" t="s">
        <v>64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208"/>
      <c r="BW40" s="39"/>
      <c r="BX40" s="55" t="str">
        <f>IF($BY$6&lt;&gt;5,"23  meses","")</f>
        <v>23  meses</v>
      </c>
      <c r="BY40" s="56">
        <f>IF(AND($BY$6=3,$BY$7=4),"21 parcelas","")</f>
      </c>
      <c r="BZ40" s="55" t="s">
        <v>141</v>
      </c>
      <c r="CA40" s="55"/>
    </row>
    <row r="41" spans="1:79" ht="31.5" customHeight="1">
      <c r="A41" s="322" t="s">
        <v>126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4"/>
      <c r="BW41" s="39"/>
      <c r="BX41" s="55" t="str">
        <f>IF($BY$6&lt;&gt;5,"24  meses","")</f>
        <v>24  meses</v>
      </c>
      <c r="BY41" s="56">
        <f>IF(AND($BY$6=3,$BY$7=4),"22 parcelas","")</f>
      </c>
      <c r="BZ41" s="55" t="s">
        <v>142</v>
      </c>
      <c r="CA41" s="55"/>
    </row>
    <row r="42" spans="1:79" ht="45" customHeight="1" thickBot="1">
      <c r="A42" s="313" t="s">
        <v>102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5"/>
      <c r="BW42" s="39"/>
      <c r="BX42" s="55" t="str">
        <f>IF(OR($BY$6=3,$BY$7&lt;=3),"25  meses","")</f>
        <v>25  meses</v>
      </c>
      <c r="BY42" s="56">
        <f>IF(AND($BY$6=3,$BY$7=4),"23 parcelas","")</f>
      </c>
      <c r="BZ42" s="55" t="s">
        <v>160</v>
      </c>
      <c r="CA42" s="55"/>
    </row>
    <row r="43" spans="1:78" ht="28.5" customHeight="1" thickBot="1">
      <c r="A43" s="169" t="s">
        <v>67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 t="s">
        <v>98</v>
      </c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208"/>
      <c r="BW43" s="39"/>
      <c r="BX43" s="55" t="str">
        <f>IF(OR($BY$6=3,$BY$7&lt;=3),"26  meses","")</f>
        <v>26  meses</v>
      </c>
      <c r="BY43" s="56">
        <f>IF(AND($BY$6=3,$BY$7=4),"24 parcelas","")</f>
      </c>
      <c r="BZ43" s="55" t="s">
        <v>161</v>
      </c>
    </row>
    <row r="44" spans="1:78" ht="10.5" customHeight="1">
      <c r="A44" s="333" t="s">
        <v>65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326"/>
      <c r="T44" s="185" t="s">
        <v>66</v>
      </c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326"/>
      <c r="AJ44" s="185" t="s">
        <v>65</v>
      </c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326"/>
      <c r="BE44" s="185" t="s">
        <v>66</v>
      </c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7"/>
      <c r="BW44" s="45"/>
      <c r="BX44" s="55" t="str">
        <f>IF(OR($BY$6=3,$BY$7&lt;=3),"27  meses","")</f>
        <v>27  meses</v>
      </c>
      <c r="BZ44" s="55" t="s">
        <v>162</v>
      </c>
    </row>
    <row r="45" spans="1:78" ht="15.7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1"/>
      <c r="T45" s="206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5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1"/>
      <c r="BE45" s="206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325"/>
      <c r="BW45" s="45"/>
      <c r="BX45" s="55" t="str">
        <f>IF(OR($BY$6=3,$BY$7&lt;=3),"28  meses","")</f>
        <v>28  meses</v>
      </c>
      <c r="BZ45" s="55" t="s">
        <v>163</v>
      </c>
    </row>
    <row r="46" spans="1:79" ht="15" customHeight="1">
      <c r="A46" s="297" t="s">
        <v>68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2" t="s">
        <v>68</v>
      </c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4"/>
      <c r="BW46" s="45"/>
      <c r="BX46" s="55" t="str">
        <f>IF(OR($BY$6=3,$BY$7&lt;=3),"29  meses","")</f>
        <v>29  meses</v>
      </c>
      <c r="BY46" s="22"/>
      <c r="BZ46" s="55" t="s">
        <v>164</v>
      </c>
      <c r="CA46" s="55"/>
    </row>
    <row r="47" spans="1:79" ht="44.25" customHeight="1" thickBot="1">
      <c r="A47" s="316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31"/>
      <c r="AK47" s="317"/>
      <c r="AL47" s="317"/>
      <c r="AM47" s="317"/>
      <c r="AN47" s="317"/>
      <c r="AO47" s="317"/>
      <c r="AP47" s="317"/>
      <c r="AQ47" s="317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32"/>
      <c r="BW47" s="45"/>
      <c r="BX47" s="55" t="str">
        <f>IF(OR($BY$6=3,$BY$7&lt;=3),"30  meses","")</f>
        <v>30  meses</v>
      </c>
      <c r="BY47" s="22"/>
      <c r="BZ47" s="55" t="s">
        <v>165</v>
      </c>
      <c r="CA47" s="55"/>
    </row>
    <row r="48" spans="1:79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45"/>
      <c r="BX48" s="55">
        <f>IF(AND($BY$6=3,$BY$7=4),"31  meses","")</f>
      </c>
      <c r="BY48" s="22"/>
      <c r="BZ48" s="55" t="s">
        <v>184</v>
      </c>
      <c r="CA48" s="55"/>
    </row>
    <row r="49" spans="1:79" ht="1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45"/>
      <c r="BX49" s="55">
        <f>IF(AND($BY$6=3,$BY$7=4),"32  meses","")</f>
      </c>
      <c r="BY49" s="22"/>
      <c r="BZ49" s="55" t="s">
        <v>185</v>
      </c>
      <c r="CA49" s="55"/>
    </row>
    <row r="50" spans="1:79" ht="1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45"/>
      <c r="BX50" s="55">
        <f>IF(AND($BY$6=3,$BY$7=4),"33  meses","")</f>
      </c>
      <c r="BY50" s="22"/>
      <c r="BZ50" s="55" t="s">
        <v>186</v>
      </c>
      <c r="CA50" s="55"/>
    </row>
    <row r="51" spans="1:79" ht="1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45"/>
      <c r="BX51" s="55">
        <f>IF(AND($BY$6=3,$BY$7=4),"34  meses","")</f>
      </c>
      <c r="BY51" s="22"/>
      <c r="BZ51" s="55" t="s">
        <v>187</v>
      </c>
      <c r="CA51" s="55"/>
    </row>
    <row r="52" spans="1:79" ht="1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45"/>
      <c r="BX52" s="55">
        <f>IF(AND($BY$6=3,$BY$7=4),"35  meses","")</f>
      </c>
      <c r="BY52" s="22"/>
      <c r="BZ52" s="55" t="s">
        <v>188</v>
      </c>
      <c r="CA52" s="55"/>
    </row>
    <row r="53" spans="1:79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45"/>
      <c r="BX53" s="55">
        <f>IF(AND($BY$6=3,$BY$7=4),"36  meses","")</f>
      </c>
      <c r="BY53" s="22"/>
      <c r="BZ53" s="55" t="s">
        <v>143</v>
      </c>
      <c r="CA53" s="55"/>
    </row>
    <row r="54" spans="1:79" ht="1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101"/>
      <c r="BX54" s="55"/>
      <c r="BY54" s="22"/>
      <c r="BZ54" s="55"/>
      <c r="CA54" s="55"/>
    </row>
    <row r="55" spans="1:79" ht="1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101"/>
      <c r="BX55" s="55"/>
      <c r="BY55" s="22"/>
      <c r="BZ55" s="55"/>
      <c r="CA55" s="55"/>
    </row>
    <row r="56" spans="1:79" ht="1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1"/>
      <c r="BX56" s="55"/>
      <c r="BY56" s="22"/>
      <c r="BZ56" s="55"/>
      <c r="CA56" s="55"/>
    </row>
    <row r="57" spans="1:79" ht="1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101"/>
      <c r="BX57" s="55"/>
      <c r="BY57" s="22"/>
      <c r="BZ57" s="55"/>
      <c r="CA57" s="55"/>
    </row>
    <row r="58" spans="1:79" ht="1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01"/>
      <c r="BX58" s="55"/>
      <c r="BY58" s="22"/>
      <c r="BZ58" s="55"/>
      <c r="CA58" s="55"/>
    </row>
    <row r="59" spans="1:79" ht="4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102"/>
      <c r="BX59" s="55"/>
      <c r="BY59" s="22"/>
      <c r="BZ59" s="55"/>
      <c r="CA59" s="55"/>
    </row>
    <row r="60" spans="1:79" ht="10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4"/>
      <c r="AO60" s="4"/>
      <c r="AP60" s="4"/>
      <c r="AQ60" s="4"/>
      <c r="AR60" s="4"/>
      <c r="AS60" s="4"/>
      <c r="AT60" s="4"/>
      <c r="AU60" s="4"/>
      <c r="AV60" s="2"/>
      <c r="AW60" s="4"/>
      <c r="AX60" s="4"/>
      <c r="AY60" s="2"/>
      <c r="AZ60" s="4"/>
      <c r="BA60" s="4"/>
      <c r="BB60" s="2"/>
      <c r="BC60" s="4"/>
      <c r="BD60" s="4"/>
      <c r="BE60" s="2"/>
      <c r="BF60" s="4"/>
      <c r="BG60" s="4"/>
      <c r="BH60" s="2"/>
      <c r="BI60" s="4"/>
      <c r="BJ60" s="4"/>
      <c r="BK60" s="2"/>
      <c r="BL60" s="4"/>
      <c r="BM60" s="4"/>
      <c r="BN60" s="2"/>
      <c r="BO60" s="4"/>
      <c r="BP60" s="4"/>
      <c r="BQ60" s="2"/>
      <c r="BR60" s="4"/>
      <c r="BS60" s="4"/>
      <c r="BT60" s="2"/>
      <c r="BU60" s="4"/>
      <c r="BV60" s="4"/>
      <c r="BW60" s="46"/>
      <c r="BX60" s="55"/>
      <c r="BY60" s="22"/>
      <c r="BZ60" s="55"/>
      <c r="CA60" s="55"/>
    </row>
    <row r="61" spans="1:79" ht="10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4"/>
      <c r="AO61" s="4"/>
      <c r="AP61" s="4"/>
      <c r="AQ61" s="4"/>
      <c r="AR61" s="4"/>
      <c r="AS61" s="4"/>
      <c r="AT61" s="4"/>
      <c r="AU61" s="4"/>
      <c r="AV61" s="2"/>
      <c r="AW61" s="4"/>
      <c r="AX61" s="4"/>
      <c r="AY61" s="2"/>
      <c r="AZ61" s="4"/>
      <c r="BA61" s="4"/>
      <c r="BB61" s="2"/>
      <c r="BC61" s="4"/>
      <c r="BD61" s="4"/>
      <c r="BE61" s="2"/>
      <c r="BF61" s="4"/>
      <c r="BG61" s="4"/>
      <c r="BH61" s="2"/>
      <c r="BI61" s="4"/>
      <c r="BJ61" s="4"/>
      <c r="BK61" s="2"/>
      <c r="BL61" s="4"/>
      <c r="BM61" s="4"/>
      <c r="BN61" s="2"/>
      <c r="BO61" s="4"/>
      <c r="BP61" s="4"/>
      <c r="BQ61" s="2"/>
      <c r="BR61" s="4"/>
      <c r="BS61" s="4"/>
      <c r="BT61" s="2"/>
      <c r="BU61" s="4"/>
      <c r="BV61" s="4"/>
      <c r="BW61" s="22"/>
      <c r="BX61" s="55"/>
      <c r="BY61" s="22"/>
      <c r="BZ61" s="55"/>
      <c r="CA61" s="55"/>
    </row>
    <row r="62" spans="1:79" ht="10.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2"/>
      <c r="AW62" s="4"/>
      <c r="AX62" s="4"/>
      <c r="AY62" s="2"/>
      <c r="AZ62" s="4"/>
      <c r="BA62" s="4"/>
      <c r="BB62" s="2"/>
      <c r="BC62" s="4"/>
      <c r="BD62" s="4"/>
      <c r="BE62" s="2"/>
      <c r="BF62" s="4"/>
      <c r="BG62" s="4"/>
      <c r="BH62" s="2"/>
      <c r="BI62" s="4"/>
      <c r="BJ62" s="4"/>
      <c r="BK62" s="2"/>
      <c r="BL62" s="4"/>
      <c r="BM62" s="4"/>
      <c r="BN62" s="2"/>
      <c r="BO62" s="4"/>
      <c r="BP62" s="4"/>
      <c r="BQ62" s="2"/>
      <c r="BR62" s="4"/>
      <c r="BS62" s="4"/>
      <c r="BT62" s="2"/>
      <c r="BU62" s="4"/>
      <c r="BV62" s="4"/>
      <c r="BW62" s="13"/>
      <c r="BX62" s="55"/>
      <c r="BY62" s="22"/>
      <c r="BZ62" s="55"/>
      <c r="CA62" s="55"/>
    </row>
    <row r="63" spans="1:79" ht="10.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X63" s="55"/>
      <c r="BY63" s="22"/>
      <c r="BZ63" s="55"/>
      <c r="CA63" s="55"/>
    </row>
    <row r="64" spans="1:79" ht="10.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X64" s="55"/>
      <c r="BY64" s="22"/>
      <c r="BZ64" s="55"/>
      <c r="CA64" s="55"/>
    </row>
    <row r="65" spans="1:79" ht="10.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X65" s="55"/>
      <c r="BY65" s="22"/>
      <c r="BZ65" s="55"/>
      <c r="CA65" s="55"/>
    </row>
    <row r="66" spans="1:76" ht="10.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X66" s="36"/>
    </row>
    <row r="67" spans="1:75" ht="10.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2"/>
    </row>
    <row r="68" spans="1:77" ht="10.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2"/>
      <c r="BY68" s="21"/>
    </row>
    <row r="69" spans="1:75" ht="10.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2"/>
    </row>
    <row r="70" spans="1:80" ht="31.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2"/>
      <c r="BX70" s="94" t="s">
        <v>136</v>
      </c>
      <c r="BY70" s="91" t="s">
        <v>134</v>
      </c>
      <c r="BZ70" s="90" t="s">
        <v>135</v>
      </c>
      <c r="CA70" s="95" t="s">
        <v>154</v>
      </c>
      <c r="CB70" s="95"/>
    </row>
    <row r="71" spans="1:80" ht="10.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2"/>
      <c r="BX71" s="74">
        <f>IF(DAY(Y22)&gt;15,DATE(YEAR(Y22),1+MONTH(Y22),15),DATE(YEAR(Y22),MONTH(Y22),15))</f>
        <v>15</v>
      </c>
      <c r="BY71" s="92" t="s">
        <v>35</v>
      </c>
      <c r="BZ71" s="92" t="s">
        <v>39</v>
      </c>
      <c r="CA71" s="96" t="s">
        <v>155</v>
      </c>
      <c r="CB71" s="95" t="s">
        <v>156</v>
      </c>
    </row>
    <row r="72" spans="1:80" ht="10.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13"/>
      <c r="BY72" s="92" t="s">
        <v>159</v>
      </c>
      <c r="BZ72" s="75" t="s">
        <v>40</v>
      </c>
      <c r="CA72" s="95">
        <f>MONTH(AF28)</f>
        <v>3</v>
      </c>
      <c r="CB72" s="95">
        <f>VLOOKUP(CA72,CA74:CB85,2,0)</f>
        <v>31</v>
      </c>
    </row>
    <row r="73" spans="1:80" ht="10.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Y73" s="76" t="s">
        <v>153</v>
      </c>
      <c r="CA73" s="95"/>
      <c r="CB73" s="95"/>
    </row>
    <row r="74" spans="1:80" ht="10.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Y74" s="75" t="s">
        <v>40</v>
      </c>
      <c r="BZ74" s="64"/>
      <c r="CA74" s="95">
        <v>1</v>
      </c>
      <c r="CB74" s="95">
        <v>31</v>
      </c>
    </row>
    <row r="75" spans="1:80" ht="10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Z75" s="64"/>
      <c r="CA75" s="95">
        <v>2</v>
      </c>
      <c r="CB75" s="95">
        <v>28</v>
      </c>
    </row>
    <row r="76" spans="1:80" ht="10.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Z76" s="64"/>
      <c r="CA76" s="95">
        <v>3</v>
      </c>
      <c r="CB76" s="95">
        <v>31</v>
      </c>
    </row>
    <row r="77" spans="1:80" ht="10.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Z77" s="64"/>
      <c r="CA77" s="95">
        <v>4</v>
      </c>
      <c r="CB77" s="95">
        <v>30</v>
      </c>
    </row>
    <row r="78" spans="1:80" ht="10.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Z78" s="64"/>
      <c r="CA78" s="58">
        <v>5</v>
      </c>
      <c r="CB78" s="58">
        <v>31</v>
      </c>
    </row>
    <row r="79" spans="1:80" ht="10.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Z79" s="64"/>
      <c r="CA79" s="95">
        <v>6</v>
      </c>
      <c r="CB79" s="97">
        <v>30</v>
      </c>
    </row>
    <row r="80" spans="1:116" ht="10.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Z80" s="64"/>
      <c r="CA80" s="58">
        <v>7</v>
      </c>
      <c r="CB80" s="98">
        <v>31</v>
      </c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</row>
    <row r="81" spans="1:161" ht="10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Z81" s="64"/>
      <c r="CA81" s="95">
        <v>8</v>
      </c>
      <c r="CB81" s="98">
        <v>31</v>
      </c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</row>
    <row r="82" spans="1:161" ht="10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Z82" s="64"/>
      <c r="CA82" s="58">
        <v>9</v>
      </c>
      <c r="CB82" s="98">
        <v>30</v>
      </c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</row>
    <row r="83" spans="1:116" ht="10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Z83" s="64"/>
      <c r="CA83" s="95">
        <v>10</v>
      </c>
      <c r="CB83" s="98">
        <v>31</v>
      </c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</row>
    <row r="84" spans="1:116" ht="10.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Z84" s="64"/>
      <c r="CA84" s="58">
        <v>11</v>
      </c>
      <c r="CB84" s="98">
        <v>30</v>
      </c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</row>
    <row r="85" spans="1:116" ht="10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Z85" s="64"/>
      <c r="CA85" s="95">
        <v>12</v>
      </c>
      <c r="CB85" s="98">
        <v>31</v>
      </c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</row>
    <row r="86" spans="1:116" ht="10.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Z86" s="64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</row>
    <row r="87" spans="1:116" ht="10.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Z87" s="64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</row>
    <row r="88" spans="1:78" ht="10.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Z88" s="64"/>
    </row>
    <row r="89" spans="1:78" ht="10.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Z89" s="64"/>
    </row>
    <row r="90" spans="1:78" ht="10.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Z90" s="64"/>
    </row>
    <row r="91" spans="1:78" ht="10.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Z91" s="64"/>
    </row>
    <row r="92" spans="1:78" ht="10.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Z92" s="64"/>
    </row>
    <row r="93" spans="1:78" ht="10.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Z93" s="64"/>
    </row>
    <row r="94" spans="1:78" ht="10.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Z94" s="64"/>
    </row>
    <row r="95" spans="1:78" ht="10.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Z95" s="64"/>
    </row>
    <row r="96" spans="1:78" ht="10.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Z96" s="64"/>
    </row>
    <row r="97" spans="1:78" ht="10.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Z97" s="64"/>
    </row>
    <row r="98" spans="1:78" ht="10.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Z98" s="64"/>
    </row>
    <row r="99" spans="1:78" ht="10.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Z99" s="64"/>
    </row>
    <row r="100" spans="1:78" ht="10.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Z100" s="64"/>
    </row>
    <row r="101" spans="1:78" ht="10.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Z101" s="64"/>
    </row>
    <row r="102" spans="1:78" ht="10.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Z102" s="64"/>
    </row>
    <row r="103" spans="1:78" ht="10.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Z103" s="64"/>
    </row>
    <row r="104" spans="1:78" ht="10.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Z104" s="64"/>
    </row>
    <row r="105" spans="1:78" ht="10.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Z105" s="64"/>
    </row>
    <row r="106" spans="1:78" ht="10.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Z106" s="64"/>
    </row>
    <row r="107" spans="1:78" ht="10.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Z107" s="64"/>
    </row>
    <row r="108" spans="1:78" ht="10.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Z108" s="64"/>
    </row>
    <row r="109" spans="1:78" ht="10.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Z109" s="64"/>
    </row>
    <row r="110" spans="1:78" ht="10.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Z110" s="64"/>
    </row>
    <row r="111" spans="1:78" ht="10.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Z111" s="64"/>
    </row>
    <row r="112" spans="1:78" ht="10.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Z112" s="64"/>
    </row>
    <row r="113" spans="1:78" ht="10.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Z113" s="64"/>
    </row>
    <row r="114" spans="1:78" ht="10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Z114" s="64"/>
    </row>
    <row r="115" spans="1:78" ht="10.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Z115" s="64"/>
    </row>
    <row r="116" spans="1:78" ht="10.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Z116" s="64"/>
    </row>
    <row r="117" spans="1:78" ht="10.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Z117" s="64"/>
    </row>
    <row r="118" spans="1:78" ht="10.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Z118" s="64"/>
    </row>
    <row r="119" spans="1:78" ht="10.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Z119" s="64"/>
    </row>
    <row r="120" spans="1:78" ht="10.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Z120" s="64"/>
    </row>
    <row r="121" spans="1:78" ht="10.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Z121" s="64"/>
    </row>
    <row r="122" spans="1:78" ht="10.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Z122" s="36"/>
    </row>
    <row r="123" spans="1:78" ht="10.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Z123" s="36"/>
    </row>
    <row r="124" spans="1:78" ht="10.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Z124" s="36"/>
    </row>
    <row r="125" spans="1:78" ht="10.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Z125" s="36"/>
    </row>
    <row r="126" spans="1:78" ht="10.5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Z126" s="64"/>
    </row>
    <row r="127" spans="1:78" ht="10.5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Z127" s="64"/>
    </row>
    <row r="128" spans="1:74" ht="10.5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 ht="10.5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 ht="10.5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 ht="10.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 ht="10.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 ht="10.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 ht="10.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 ht="10.5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 ht="10.5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 ht="10.5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 ht="10.5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 ht="10.5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 ht="10.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 ht="10.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 ht="10.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 ht="10.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 ht="10.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 ht="10.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 ht="10.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 ht="10.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 ht="10.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 ht="10.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 ht="10.5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 ht="10.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 ht="10.5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ht="10.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 ht="10.5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 ht="10.5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 ht="10.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 ht="10.5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 ht="10.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 ht="10.5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 ht="10.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 ht="10.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 ht="10.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 ht="10.5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 ht="10.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 ht="10.5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 ht="10.5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 ht="10.5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 ht="10.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 ht="10.5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 ht="10.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 ht="10.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 ht="10.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 ht="10.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 ht="10.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 ht="10.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 ht="10.5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 ht="10.5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 ht="10.5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 ht="10.5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 ht="10.5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 ht="10.5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39" ht="10.5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 spans="1:39" ht="10.5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 spans="1:39" ht="10.5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 spans="1:39" ht="10.5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</sheetData>
  <sheetProtection password="9475" sheet="1"/>
  <mergeCells count="121">
    <mergeCell ref="AY28:BJ28"/>
    <mergeCell ref="AL32:AO35"/>
    <mergeCell ref="AF27:AW27"/>
    <mergeCell ref="AR29:AW31"/>
    <mergeCell ref="Z25:AG26"/>
    <mergeCell ref="A27:P27"/>
    <mergeCell ref="CC9:CD9"/>
    <mergeCell ref="CE9:CF9"/>
    <mergeCell ref="AY31:BV32"/>
    <mergeCell ref="AH25:AO26"/>
    <mergeCell ref="Z24:AG24"/>
    <mergeCell ref="BK28:BV28"/>
    <mergeCell ref="AL29:AQ31"/>
    <mergeCell ref="AC32:AK33"/>
    <mergeCell ref="Z29:AK31"/>
    <mergeCell ref="AP32:AQ35"/>
    <mergeCell ref="AY29:BJ30"/>
    <mergeCell ref="AP21:AW22"/>
    <mergeCell ref="A23:Y23"/>
    <mergeCell ref="G25:I26"/>
    <mergeCell ref="Q28:AE28"/>
    <mergeCell ref="AH23:AO23"/>
    <mergeCell ref="AH24:AO24"/>
    <mergeCell ref="H32:K33"/>
    <mergeCell ref="AP38:AW39"/>
    <mergeCell ref="Q34:Y35"/>
    <mergeCell ref="N29:Y31"/>
    <mergeCell ref="AC34:AK35"/>
    <mergeCell ref="Q32:Y33"/>
    <mergeCell ref="H34:K35"/>
    <mergeCell ref="AR32:AU35"/>
    <mergeCell ref="Z32:AB33"/>
    <mergeCell ref="Z34:AB35"/>
    <mergeCell ref="A44:S44"/>
    <mergeCell ref="T44:AI44"/>
    <mergeCell ref="J2:BA2"/>
    <mergeCell ref="Q22:X22"/>
    <mergeCell ref="N21:X21"/>
    <mergeCell ref="Y21:AH21"/>
    <mergeCell ref="Y22:AH22"/>
    <mergeCell ref="J3:O3"/>
    <mergeCell ref="AI21:AO21"/>
    <mergeCell ref="AI22:AO22"/>
    <mergeCell ref="A42:BV42"/>
    <mergeCell ref="A47:AI47"/>
    <mergeCell ref="N32:P33"/>
    <mergeCell ref="N34:P35"/>
    <mergeCell ref="L34:M35"/>
    <mergeCell ref="A41:BV41"/>
    <mergeCell ref="BE45:BV45"/>
    <mergeCell ref="AJ44:BD44"/>
    <mergeCell ref="A38:L39"/>
    <mergeCell ref="AJ47:BV47"/>
    <mergeCell ref="P3:AL3"/>
    <mergeCell ref="AU12:BL12"/>
    <mergeCell ref="A46:AI46"/>
    <mergeCell ref="BK29:BO30"/>
    <mergeCell ref="A11:AT11"/>
    <mergeCell ref="AU11:BL11"/>
    <mergeCell ref="A22:C22"/>
    <mergeCell ref="A25:F26"/>
    <mergeCell ref="A18:AZ18"/>
    <mergeCell ref="BM12:BV12"/>
    <mergeCell ref="L32:M33"/>
    <mergeCell ref="A17:AZ17"/>
    <mergeCell ref="Z23:AG23"/>
    <mergeCell ref="A12:AT12"/>
    <mergeCell ref="AY21:BV21"/>
    <mergeCell ref="AY20:BV20"/>
    <mergeCell ref="BJ17:BV17"/>
    <mergeCell ref="BA18:BI18"/>
    <mergeCell ref="AV32:AW35"/>
    <mergeCell ref="A28:P28"/>
    <mergeCell ref="AY14:BV14"/>
    <mergeCell ref="A13:AB13"/>
    <mergeCell ref="AC13:AX13"/>
    <mergeCell ref="A14:AB14"/>
    <mergeCell ref="BJ18:BV18"/>
    <mergeCell ref="Q4:AC4"/>
    <mergeCell ref="S5:AO5"/>
    <mergeCell ref="A8:L8"/>
    <mergeCell ref="AP25:AW26"/>
    <mergeCell ref="AP23:AW23"/>
    <mergeCell ref="AP24:AW24"/>
    <mergeCell ref="BA17:BI17"/>
    <mergeCell ref="BM11:BV11"/>
    <mergeCell ref="A20:AW20"/>
    <mergeCell ref="A21:M21"/>
    <mergeCell ref="A16:BV16"/>
    <mergeCell ref="AY13:BV13"/>
    <mergeCell ref="AC14:AX14"/>
    <mergeCell ref="A40:BV40"/>
    <mergeCell ref="A43:AI43"/>
    <mergeCell ref="S38:AO39"/>
    <mergeCell ref="AF28:AW28"/>
    <mergeCell ref="A37:BV37"/>
    <mergeCell ref="H30:M31"/>
    <mergeCell ref="A29:M29"/>
    <mergeCell ref="A30:G31"/>
    <mergeCell ref="AJ43:BV43"/>
    <mergeCell ref="BP29:BV30"/>
    <mergeCell ref="A45:S45"/>
    <mergeCell ref="AJ46:BV46"/>
    <mergeCell ref="BE44:BV44"/>
    <mergeCell ref="P38:R39"/>
    <mergeCell ref="J25:O26"/>
    <mergeCell ref="Q27:AE27"/>
    <mergeCell ref="AX38:BV39"/>
    <mergeCell ref="AY22:BV27"/>
    <mergeCell ref="AJ45:BD45"/>
    <mergeCell ref="T45:AI45"/>
    <mergeCell ref="N22:P22"/>
    <mergeCell ref="BE6:BV8"/>
    <mergeCell ref="BE1:BV1"/>
    <mergeCell ref="BE2:BV2"/>
    <mergeCell ref="BE3:BV3"/>
    <mergeCell ref="J1:BA1"/>
    <mergeCell ref="A6:L6"/>
    <mergeCell ref="A7:L7"/>
    <mergeCell ref="D22:M22"/>
    <mergeCell ref="A10:BV10"/>
  </mergeCells>
  <conditionalFormatting sqref="A28:P28 AF28:AW28">
    <cfRule type="expression" priority="3" dxfId="16" stopIfTrue="1">
      <formula>$Y$22=""</formula>
    </cfRule>
  </conditionalFormatting>
  <conditionalFormatting sqref="A32:G33">
    <cfRule type="expression" priority="5" dxfId="2" stopIfTrue="1">
      <formula>$BX$63=1</formula>
    </cfRule>
    <cfRule type="expression" priority="6" dxfId="2" stopIfTrue="1">
      <formula>$BX$42=1</formula>
    </cfRule>
    <cfRule type="expression" priority="7" dxfId="1" stopIfTrue="1">
      <formula>$BX$59=1</formula>
    </cfRule>
  </conditionalFormatting>
  <conditionalFormatting sqref="Q28:AE28">
    <cfRule type="expression" priority="8" dxfId="16" stopIfTrue="1">
      <formula>$Y$22=""</formula>
    </cfRule>
    <cfRule type="cellIs" priority="9" dxfId="5" operator="lessThanOrEqual" stopIfTrue="1">
      <formula>$Y$22</formula>
    </cfRule>
  </conditionalFormatting>
  <conditionalFormatting sqref="A34 F34">
    <cfRule type="expression" priority="14" dxfId="4" stopIfTrue="1">
      <formula>$BX$71=1</formula>
    </cfRule>
  </conditionalFormatting>
  <conditionalFormatting sqref="Q22:X22">
    <cfRule type="expression" priority="1" dxfId="0" stopIfTrue="1">
      <formula>$CG$20="erro"</formula>
    </cfRule>
  </conditionalFormatting>
  <dataValidations count="2">
    <dataValidation errorStyle="information" type="textLength" operator="lessThanOrEqual" allowBlank="1" showInputMessage="1" showErrorMessage="1" errorTitle="Nº da Proposta" error="Máximo de 8 caracteres" sqref="A8">
      <formula1>8</formula1>
    </dataValidation>
    <dataValidation allowBlank="1" showInputMessage="1" showErrorMessage="1" errorTitle="Nº da Proposta" error="Máximo de 8 caracteres." sqref="M8:U8 Q4"/>
  </dataValidations>
  <printOptions horizontalCentered="1"/>
  <pageMargins left="0.1968503937007874" right="0.1968503937007874" top="0.5905511811023623" bottom="0.3937007874015748" header="0.2755905511811024" footer="0.4724409448818898"/>
  <pageSetup fitToHeight="0" fitToWidth="1" horizontalDpi="300" verticalDpi="3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EW175"/>
  <sheetViews>
    <sheetView showGridLines="0" showRowColHeaders="0" zoomScaleSheetLayoutView="89" zoomScalePageLayoutView="0" workbookViewId="0" topLeftCell="A1">
      <selection activeCell="CH5" sqref="CH5"/>
    </sheetView>
  </sheetViews>
  <sheetFormatPr defaultColWidth="1.7109375" defaultRowHeight="10.5"/>
  <cols>
    <col min="1" max="1" width="1.7109375" style="3" customWidth="1"/>
    <col min="2" max="8" width="1.7109375" style="1" customWidth="1"/>
    <col min="9" max="9" width="5.28125" style="1" customWidth="1"/>
    <col min="10" max="16" width="1.7109375" style="1" customWidth="1"/>
    <col min="17" max="17" width="2.00390625" style="1" customWidth="1"/>
    <col min="18" max="18" width="1.421875" style="1" customWidth="1"/>
    <col min="19" max="19" width="1.7109375" style="1" customWidth="1"/>
    <col min="20" max="20" width="2.140625" style="1" customWidth="1"/>
    <col min="21" max="21" width="1.7109375" style="1" customWidth="1"/>
    <col min="22" max="22" width="2.140625" style="1" customWidth="1"/>
    <col min="23" max="23" width="1.7109375" style="1" customWidth="1"/>
    <col min="24" max="24" width="2.28125" style="1" customWidth="1"/>
    <col min="25" max="33" width="1.7109375" style="1" customWidth="1"/>
    <col min="34" max="34" width="1.421875" style="1" customWidth="1"/>
    <col min="35" max="74" width="1.7109375" style="1" customWidth="1"/>
    <col min="75" max="75" width="1.7109375" style="4" customWidth="1"/>
    <col min="76" max="76" width="15.57421875" style="20" hidden="1" customWidth="1"/>
    <col min="77" max="77" width="13.421875" style="20" hidden="1" customWidth="1"/>
    <col min="78" max="78" width="14.8515625" style="20" hidden="1" customWidth="1"/>
    <col min="79" max="79" width="14.421875" style="20" hidden="1" customWidth="1"/>
    <col min="80" max="80" width="8.00390625" style="4" hidden="1" customWidth="1"/>
    <col min="81" max="85" width="11.7109375" style="4" hidden="1" customWidth="1"/>
    <col min="86" max="87" width="15.28125" style="4" customWidth="1"/>
    <col min="88" max="115" width="1.7109375" style="4" customWidth="1"/>
    <col min="116" max="16384" width="1.7109375" style="4" customWidth="1"/>
  </cols>
  <sheetData>
    <row r="1" spans="2:79" ht="24.75" customHeight="1" thickBot="1">
      <c r="B1" s="3"/>
      <c r="C1" s="3"/>
      <c r="D1" s="3"/>
      <c r="E1" s="3"/>
      <c r="F1" s="3"/>
      <c r="G1" s="3"/>
      <c r="H1" s="3"/>
      <c r="I1" s="3"/>
      <c r="J1" s="419" t="s">
        <v>179</v>
      </c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27"/>
      <c r="BC1" s="27"/>
      <c r="BD1" s="27"/>
      <c r="BE1" s="165" t="s">
        <v>181</v>
      </c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7"/>
      <c r="BW1" s="39"/>
      <c r="BX1" s="4"/>
      <c r="BY1" s="4"/>
      <c r="BZ1" s="4"/>
      <c r="CA1" s="4"/>
    </row>
    <row r="2" spans="2:79" ht="24.75" customHeight="1">
      <c r="B2" s="3"/>
      <c r="C2" s="3"/>
      <c r="D2" s="3"/>
      <c r="E2" s="3"/>
      <c r="F2" s="3"/>
      <c r="G2" s="3"/>
      <c r="H2" s="3"/>
      <c r="I2" s="3"/>
      <c r="J2" s="334" t="s">
        <v>81</v>
      </c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27"/>
      <c r="BC2" s="27"/>
      <c r="BD2" s="27"/>
      <c r="BE2" s="165" t="s">
        <v>182</v>
      </c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7"/>
      <c r="BW2" s="39"/>
      <c r="BX2" s="140" t="s">
        <v>190</v>
      </c>
      <c r="BY2" s="138" t="str">
        <f>IF(OR(BY7=1,BY7=2,BY7=3,AND(BY7=4,OR(BY6=1,BY6=3))),CC21,"")</f>
        <v>TLP</v>
      </c>
      <c r="BZ2" s="142" t="s">
        <v>169</v>
      </c>
      <c r="CA2" s="137">
        <f>IF(AND($BY$7=4,BY6=2),CC23,"")</f>
      </c>
    </row>
    <row r="3" spans="2:79" ht="19.5" customHeight="1" thickBot="1">
      <c r="B3" s="3"/>
      <c r="C3" s="3"/>
      <c r="D3" s="3"/>
      <c r="E3" s="3"/>
      <c r="F3" s="3"/>
      <c r="G3" s="3"/>
      <c r="H3" s="3"/>
      <c r="I3" s="3"/>
      <c r="J3" s="342" t="s">
        <v>180</v>
      </c>
      <c r="K3" s="342"/>
      <c r="L3" s="342"/>
      <c r="M3" s="342"/>
      <c r="N3" s="342"/>
      <c r="O3" s="342"/>
      <c r="P3" s="293" t="s">
        <v>125</v>
      </c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18"/>
      <c r="AN3" s="27"/>
      <c r="AO3" s="27"/>
      <c r="BB3" s="27"/>
      <c r="BC3" s="27"/>
      <c r="BD3" s="27"/>
      <c r="BE3" s="165" t="s">
        <v>183</v>
      </c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7"/>
      <c r="BW3" s="39"/>
      <c r="BX3" s="141" t="s">
        <v>166</v>
      </c>
      <c r="BY3" s="139" t="str">
        <f>IF(OR($BY$7=1,$BY$7=2,$BY$7=3),$CC$22," ")</f>
        <v>LIBOR</v>
      </c>
      <c r="BZ3" s="142" t="s">
        <v>170</v>
      </c>
      <c r="CA3" s="137">
        <f>IF(AND($BY$7=4,BY6=2),CC24,"")</f>
      </c>
    </row>
    <row r="4" spans="2:79" ht="9.75" customHeight="1">
      <c r="B4" s="3"/>
      <c r="C4" s="3"/>
      <c r="D4" s="3"/>
      <c r="E4" s="3"/>
      <c r="F4" s="3"/>
      <c r="G4" s="3"/>
      <c r="H4" s="3"/>
      <c r="I4" s="3"/>
      <c r="J4" s="34"/>
      <c r="K4" s="34"/>
      <c r="L4" s="34"/>
      <c r="M4" s="34"/>
      <c r="N4" s="34"/>
      <c r="O4" s="34"/>
      <c r="P4" s="33"/>
      <c r="Q4" s="259" t="s">
        <v>192</v>
      </c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33"/>
      <c r="AE4" s="33"/>
      <c r="AF4" s="33"/>
      <c r="AG4" s="33"/>
      <c r="AH4" s="33"/>
      <c r="AI4" s="33"/>
      <c r="AJ4" s="33"/>
      <c r="AK4" s="33"/>
      <c r="AL4" s="33"/>
      <c r="AM4" s="18"/>
      <c r="AN4" s="27"/>
      <c r="AO4" s="27"/>
      <c r="BB4" s="27"/>
      <c r="BC4" s="27"/>
      <c r="BD4" s="27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9"/>
      <c r="CA4" s="4"/>
    </row>
    <row r="5" spans="2:79" ht="7.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BB5" s="17"/>
      <c r="BC5" s="17"/>
      <c r="BD5" s="17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39"/>
      <c r="BX5" s="4"/>
      <c r="BY5" s="4"/>
      <c r="BZ5" s="4"/>
      <c r="CA5" s="4"/>
    </row>
    <row r="6" spans="1:83" ht="11.25" customHeight="1" thickBot="1">
      <c r="A6" s="169" t="s">
        <v>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3"/>
      <c r="AL6" s="3"/>
      <c r="BC6" s="3"/>
      <c r="BD6" s="3"/>
      <c r="BE6" s="164" t="s">
        <v>25</v>
      </c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39"/>
      <c r="BX6" s="132" t="s">
        <v>38</v>
      </c>
      <c r="BY6" s="133">
        <v>0</v>
      </c>
      <c r="BZ6" s="4"/>
      <c r="CA6" s="131" t="s">
        <v>178</v>
      </c>
      <c r="CE6" s="105"/>
    </row>
    <row r="7" spans="1:83" ht="9.75" customHeight="1">
      <c r="A7" s="171" t="s">
        <v>15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  <c r="M7" s="25"/>
      <c r="N7" s="25"/>
      <c r="O7" s="25"/>
      <c r="P7" s="25"/>
      <c r="Q7" s="25"/>
      <c r="R7" s="25"/>
      <c r="S7" s="25"/>
      <c r="T7" s="25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39"/>
      <c r="BX7" s="132" t="s">
        <v>133</v>
      </c>
      <c r="BY7" s="134">
        <v>1</v>
      </c>
      <c r="BZ7" s="4"/>
      <c r="CA7" s="25" t="b">
        <f>SUM($H$32,$H$34)=100</f>
        <v>1</v>
      </c>
      <c r="CE7" s="108"/>
    </row>
    <row r="8" spans="1:85" ht="26.25" customHeight="1" thickBot="1">
      <c r="A8" s="261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3"/>
      <c r="M8" s="50"/>
      <c r="N8" s="50"/>
      <c r="O8" s="50"/>
      <c r="P8" s="50"/>
      <c r="Q8" s="50"/>
      <c r="R8" s="50"/>
      <c r="S8" s="50"/>
      <c r="T8" s="50"/>
      <c r="U8" s="5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39"/>
      <c r="BX8" s="4" t="s">
        <v>104</v>
      </c>
      <c r="BY8" s="4"/>
      <c r="BZ8" s="4"/>
      <c r="CA8" s="4"/>
      <c r="CC8" s="103"/>
      <c r="CD8" s="103"/>
      <c r="CE8" s="103"/>
      <c r="CF8" s="59"/>
      <c r="CG8" s="103"/>
    </row>
    <row r="9" spans="2:85" ht="7.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"/>
      <c r="BW9" s="39"/>
      <c r="BX9" s="4" t="s">
        <v>105</v>
      </c>
      <c r="BY9" s="4"/>
      <c r="BZ9" s="4"/>
      <c r="CA9" s="4"/>
      <c r="CC9" s="397" t="s">
        <v>153</v>
      </c>
      <c r="CD9" s="397"/>
      <c r="CE9" s="398" t="s">
        <v>35</v>
      </c>
      <c r="CF9" s="398"/>
      <c r="CG9" s="108"/>
    </row>
    <row r="10" spans="1:85" ht="11.25" customHeight="1">
      <c r="A10" s="176" t="s">
        <v>17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8"/>
      <c r="BW10" s="39"/>
      <c r="BX10" s="4" t="s">
        <v>106</v>
      </c>
      <c r="BY10" s="4"/>
      <c r="BZ10" s="4"/>
      <c r="CA10" s="4"/>
      <c r="CC10" s="109" t="s">
        <v>167</v>
      </c>
      <c r="CD10" s="66" t="s">
        <v>168</v>
      </c>
      <c r="CE10" s="109" t="s">
        <v>167</v>
      </c>
      <c r="CF10" s="66" t="s">
        <v>168</v>
      </c>
      <c r="CG10" s="104"/>
    </row>
    <row r="11" spans="1:85" ht="9.75" customHeight="1">
      <c r="A11" s="302" t="s">
        <v>33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4"/>
      <c r="AU11" s="281" t="s">
        <v>1</v>
      </c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305"/>
      <c r="BM11" s="238" t="s">
        <v>0</v>
      </c>
      <c r="BN11" s="239"/>
      <c r="BO11" s="239"/>
      <c r="BP11" s="239"/>
      <c r="BQ11" s="239"/>
      <c r="BR11" s="239"/>
      <c r="BS11" s="239"/>
      <c r="BT11" s="239"/>
      <c r="BU11" s="239"/>
      <c r="BV11" s="241"/>
      <c r="BW11" s="39"/>
      <c r="BX11" s="4" t="s">
        <v>107</v>
      </c>
      <c r="BY11" s="4"/>
      <c r="BZ11" s="4"/>
      <c r="CA11" s="4"/>
      <c r="CC11" s="59">
        <f>IF($BY$22=2,$CA$22,0)</f>
        <v>0</v>
      </c>
      <c r="CD11" s="66">
        <v>30</v>
      </c>
      <c r="CE11" s="59">
        <f>IF($BY$22=2,#REF!,0)</f>
        <v>0</v>
      </c>
      <c r="CF11" s="66">
        <v>30</v>
      </c>
      <c r="CG11" s="104"/>
    </row>
    <row r="12" spans="1:82" ht="15" customHeight="1" thickBot="1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7"/>
      <c r="AU12" s="294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6"/>
      <c r="BM12" s="310"/>
      <c r="BN12" s="311"/>
      <c r="BO12" s="311"/>
      <c r="BP12" s="311"/>
      <c r="BQ12" s="311"/>
      <c r="BR12" s="311"/>
      <c r="BS12" s="311"/>
      <c r="BT12" s="311"/>
      <c r="BU12" s="311"/>
      <c r="BV12" s="312"/>
      <c r="BW12" s="39"/>
      <c r="BY12" s="4"/>
      <c r="BZ12" s="4"/>
      <c r="CA12" s="4"/>
      <c r="CC12" s="135"/>
      <c r="CD12" s="107"/>
    </row>
    <row r="13" spans="1:83" ht="9" customHeight="1">
      <c r="A13" s="251" t="s">
        <v>70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40"/>
      <c r="AC13" s="252" t="s">
        <v>2</v>
      </c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4"/>
      <c r="AY13" s="238" t="s">
        <v>5</v>
      </c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41"/>
      <c r="BW13" s="39"/>
      <c r="BX13" s="4"/>
      <c r="BY13" s="69"/>
      <c r="BZ13" s="70"/>
      <c r="CA13" s="70"/>
      <c r="CC13" s="113"/>
      <c r="CD13" s="117" t="s">
        <v>134</v>
      </c>
      <c r="CE13" s="118" t="s">
        <v>135</v>
      </c>
    </row>
    <row r="14" spans="1:83" ht="15" customHeight="1" thickBot="1">
      <c r="A14" s="255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  <c r="AC14" s="245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  <c r="AY14" s="248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50"/>
      <c r="BW14" s="39"/>
      <c r="BX14" s="4" t="s">
        <v>79</v>
      </c>
      <c r="BY14" s="69"/>
      <c r="BZ14" s="71"/>
      <c r="CA14" s="59"/>
      <c r="CC14" s="136"/>
      <c r="CD14" s="121" t="b">
        <f>IF(OR(AND($BY$22=2,$BY$21=4),AND($BY$22=2,$BY$21=5)),(AND($CE$16="TJLP",$AO$37=70)),OR(AND($CE$16="TJLP",$AO$37=100),AND($CE$20&lt;&gt;"",$AO$37=100)))</f>
        <v>0</v>
      </c>
      <c r="CE14" s="122" t="b">
        <f>IF(OR(AND($BY$22=2,$BY$21=4),AND($BY$22=2,$BY$21=5)),(AND(OR($CE$24="TJFPE",#REF!="SELIC"),$AO$38=30)),OR(AND($CE$16="TJLP",$AO$37=100),AND($CE$20&lt;&gt;"",$AO$37=100)))</f>
        <v>0</v>
      </c>
    </row>
    <row r="15" spans="1:85" ht="3" customHeight="1" thickBo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6"/>
      <c r="BP15" s="16"/>
      <c r="BQ15" s="16"/>
      <c r="BR15" s="16"/>
      <c r="BS15" s="16"/>
      <c r="BT15" s="16"/>
      <c r="BU15" s="16"/>
      <c r="BV15" s="16"/>
      <c r="BW15" s="39"/>
      <c r="BX15" s="68"/>
      <c r="BY15" s="69"/>
      <c r="BZ15" s="72"/>
      <c r="CA15" s="59"/>
      <c r="CC15" s="66"/>
      <c r="CD15" s="66"/>
      <c r="CE15" s="66"/>
      <c r="CF15" s="66"/>
      <c r="CG15" s="109"/>
    </row>
    <row r="16" spans="1:85" ht="10.5" customHeight="1">
      <c r="A16" s="176" t="s">
        <v>71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8"/>
      <c r="BW16" s="39"/>
      <c r="BX16" s="68">
        <f>BX18+1</f>
        <v>2</v>
      </c>
      <c r="BY16" s="69"/>
      <c r="BZ16" s="72"/>
      <c r="CA16" s="59"/>
      <c r="CE16" s="112"/>
      <c r="CF16" s="113"/>
      <c r="CG16" s="113"/>
    </row>
    <row r="17" spans="1:85" ht="9.75" customHeight="1">
      <c r="A17" s="251" t="s">
        <v>33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8" t="s">
        <v>108</v>
      </c>
      <c r="BB17" s="239"/>
      <c r="BC17" s="239"/>
      <c r="BD17" s="239"/>
      <c r="BE17" s="239"/>
      <c r="BF17" s="239"/>
      <c r="BG17" s="239"/>
      <c r="BH17" s="239"/>
      <c r="BI17" s="240"/>
      <c r="BJ17" s="281" t="s">
        <v>1</v>
      </c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3"/>
      <c r="BW17" s="39"/>
      <c r="BX17" s="59" t="s">
        <v>78</v>
      </c>
      <c r="BY17" s="59" t="s">
        <v>77</v>
      </c>
      <c r="BZ17" s="76" t="s">
        <v>76</v>
      </c>
      <c r="CA17" s="93" t="s">
        <v>75</v>
      </c>
      <c r="CG17" s="103"/>
    </row>
    <row r="18" spans="1:85" ht="15" customHeight="1" thickBot="1">
      <c r="A18" s="255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84"/>
      <c r="BB18" s="285"/>
      <c r="BC18" s="285"/>
      <c r="BD18" s="285"/>
      <c r="BE18" s="285"/>
      <c r="BF18" s="285"/>
      <c r="BG18" s="285"/>
      <c r="BH18" s="285"/>
      <c r="BI18" s="286"/>
      <c r="BJ18" s="256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8"/>
      <c r="BW18" s="39"/>
      <c r="BX18" s="66">
        <v>1</v>
      </c>
      <c r="BY18" s="66">
        <v>1</v>
      </c>
      <c r="BZ18" s="66">
        <v>1</v>
      </c>
      <c r="CA18" s="59">
        <f>IF($BY$6=5,36,BX16)</f>
        <v>2</v>
      </c>
      <c r="CG18" s="103"/>
    </row>
    <row r="19" spans="1:85" s="2" customFormat="1" ht="3" customHeight="1" thickBot="1">
      <c r="A19" s="5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54"/>
      <c r="BW19" s="40"/>
      <c r="BX19" s="59">
        <f>IF($BY$6=5,"36  meses","")</f>
      </c>
      <c r="BY19" s="59"/>
      <c r="BZ19" s="59" t="s">
        <v>143</v>
      </c>
      <c r="CA19" s="59"/>
      <c r="CG19" s="73">
        <v>2</v>
      </c>
    </row>
    <row r="20" spans="1:85" ht="11.25" customHeight="1" thickBot="1">
      <c r="A20" s="169" t="s">
        <v>19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208"/>
      <c r="AX20" s="28"/>
      <c r="AY20" s="169" t="s">
        <v>20</v>
      </c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208"/>
      <c r="BW20" s="40"/>
      <c r="BX20" s="55" t="str">
        <f>IF($BY$6&lt;&gt;5,"3  meses","")</f>
        <v>3  meses</v>
      </c>
      <c r="BY20" s="56" t="s">
        <v>48</v>
      </c>
      <c r="BZ20" s="55" t="s">
        <v>109</v>
      </c>
      <c r="CA20" s="55"/>
      <c r="CC20" s="116"/>
      <c r="CD20" s="144" t="s">
        <v>171</v>
      </c>
      <c r="CE20" s="145" t="s">
        <v>172</v>
      </c>
      <c r="CF20" s="146" t="s">
        <v>173</v>
      </c>
      <c r="CG20" s="147" t="str">
        <f>IF(OR(AND(CE21="VERDADEIRO",Q22&lt;=D22),AND(CE22="VERDADEIRO",Q22&lt;=(D22*0.8)),AND(CE23="VERDADEIRO",Q22&lt;=(D22*0.8)),AND(CE24="VERDADEIRO",Q22&lt;=(D22*0.8))),"CERTO",IF(Q22="","","ERRO"))</f>
        <v>CERTO</v>
      </c>
    </row>
    <row r="21" spans="1:85" ht="12" customHeight="1">
      <c r="A21" s="242" t="s">
        <v>51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427"/>
      <c r="M21" s="335" t="s">
        <v>37</v>
      </c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4"/>
      <c r="Z21" s="242" t="s">
        <v>53</v>
      </c>
      <c r="AA21" s="243"/>
      <c r="AB21" s="243"/>
      <c r="AC21" s="243"/>
      <c r="AD21" s="243"/>
      <c r="AE21" s="243"/>
      <c r="AF21" s="243"/>
      <c r="AG21" s="243"/>
      <c r="AH21" s="243"/>
      <c r="AI21" s="244"/>
      <c r="AJ21" s="242" t="s">
        <v>145</v>
      </c>
      <c r="AK21" s="243"/>
      <c r="AL21" s="243"/>
      <c r="AM21" s="243"/>
      <c r="AN21" s="243"/>
      <c r="AO21" s="243"/>
      <c r="AP21" s="244"/>
      <c r="AQ21" s="242" t="s">
        <v>54</v>
      </c>
      <c r="AR21" s="243"/>
      <c r="AS21" s="243"/>
      <c r="AT21" s="243"/>
      <c r="AU21" s="243"/>
      <c r="AV21" s="243"/>
      <c r="AW21" s="427"/>
      <c r="AX21" s="29"/>
      <c r="AY21" s="278" t="s">
        <v>3</v>
      </c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80"/>
      <c r="BW21" s="41"/>
      <c r="BX21" s="55" t="str">
        <f>IF($BY$6&lt;&gt;5,"4  meses","")</f>
        <v>4  meses</v>
      </c>
      <c r="BY21" s="56" t="str">
        <f>IF($BY$6&lt;&gt;5,"2  parcelas","")</f>
        <v>2  parcelas</v>
      </c>
      <c r="BZ21" s="55" t="s">
        <v>110</v>
      </c>
      <c r="CA21" s="67"/>
      <c r="CC21" s="119" t="s">
        <v>191</v>
      </c>
      <c r="CD21" s="148" t="s">
        <v>174</v>
      </c>
      <c r="CE21" s="120" t="str">
        <f>IF(OR($BY$7=1,$BY$7=2,$BY$7=3),"VERDADEIRO","FALSO")</f>
        <v>VERDADEIRO</v>
      </c>
      <c r="CF21" s="149">
        <v>100</v>
      </c>
      <c r="CG21" s="131"/>
    </row>
    <row r="22" spans="1:84" ht="15" customHeight="1">
      <c r="A22" s="420" t="s">
        <v>80</v>
      </c>
      <c r="B22" s="421"/>
      <c r="C22" s="421"/>
      <c r="D22" s="174"/>
      <c r="E22" s="174"/>
      <c r="F22" s="174"/>
      <c r="G22" s="174"/>
      <c r="H22" s="174"/>
      <c r="I22" s="174"/>
      <c r="J22" s="174"/>
      <c r="K22" s="174"/>
      <c r="L22" s="433"/>
      <c r="M22" s="162" t="s">
        <v>80</v>
      </c>
      <c r="N22" s="163"/>
      <c r="O22" s="163"/>
      <c r="P22" s="174"/>
      <c r="Q22" s="174"/>
      <c r="R22" s="174"/>
      <c r="S22" s="174"/>
      <c r="T22" s="174"/>
      <c r="U22" s="174"/>
      <c r="V22" s="174"/>
      <c r="W22" s="174"/>
      <c r="X22" s="174"/>
      <c r="Y22" s="175"/>
      <c r="Z22" s="339"/>
      <c r="AA22" s="340"/>
      <c r="AB22" s="340"/>
      <c r="AC22" s="340"/>
      <c r="AD22" s="340"/>
      <c r="AE22" s="340"/>
      <c r="AF22" s="340"/>
      <c r="AG22" s="340"/>
      <c r="AH22" s="340"/>
      <c r="AI22" s="341"/>
      <c r="AJ22" s="343"/>
      <c r="AK22" s="344"/>
      <c r="AL22" s="344"/>
      <c r="AM22" s="344"/>
      <c r="AN22" s="344"/>
      <c r="AO22" s="344"/>
      <c r="AP22" s="422"/>
      <c r="AQ22" s="343"/>
      <c r="AR22" s="344"/>
      <c r="AS22" s="344"/>
      <c r="AT22" s="344"/>
      <c r="AU22" s="344"/>
      <c r="AV22" s="344"/>
      <c r="AW22" s="428"/>
      <c r="AX22" s="58"/>
      <c r="AY22" s="199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1"/>
      <c r="BW22" s="52"/>
      <c r="BX22" s="55" t="str">
        <f>IF($BY$6&lt;&gt;5,"5  meses","")</f>
        <v>5  meses</v>
      </c>
      <c r="BY22" s="56" t="str">
        <f>IF($BY$6&lt;&gt;5,"3  parcelas","")</f>
        <v>3  parcelas</v>
      </c>
      <c r="BZ22" s="57" t="s">
        <v>111</v>
      </c>
      <c r="CA22" s="73"/>
      <c r="CC22" s="123" t="s">
        <v>159</v>
      </c>
      <c r="CD22" s="150" t="s">
        <v>175</v>
      </c>
      <c r="CE22" s="124" t="str">
        <f>IF($BY$6=2,"VERDADEIRO","FALSO")</f>
        <v>FALSO</v>
      </c>
      <c r="CF22" s="151">
        <v>80</v>
      </c>
    </row>
    <row r="23" spans="1:84" ht="15" customHeight="1">
      <c r="A23" s="336" t="s">
        <v>51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434" t="s">
        <v>37</v>
      </c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75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7"/>
      <c r="AX23" s="58"/>
      <c r="AY23" s="199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1"/>
      <c r="BW23" s="52"/>
      <c r="BX23" s="55" t="str">
        <f>IF($BY$6&lt;&gt;5,"6  meses","")</f>
        <v>6  meses</v>
      </c>
      <c r="BY23" s="56" t="str">
        <f>IF($BY$6&lt;&gt;5,"4  parcelas","")</f>
        <v>4  parcelas</v>
      </c>
      <c r="BZ23" s="55" t="s">
        <v>112</v>
      </c>
      <c r="CA23" s="69"/>
      <c r="CC23" s="161" t="s">
        <v>35</v>
      </c>
      <c r="CD23" s="143" t="s">
        <v>176</v>
      </c>
      <c r="CE23" s="126" t="str">
        <f>IF($BY$6=3,"VERDADEIRO","FALSO")</f>
        <v>FALSO</v>
      </c>
      <c r="CF23" s="152">
        <v>80</v>
      </c>
    </row>
    <row r="24" spans="1:84" ht="15" customHeight="1">
      <c r="A24" s="420" t="s">
        <v>22</v>
      </c>
      <c r="B24" s="421"/>
      <c r="C24" s="421"/>
      <c r="D24" s="320">
        <f>IF($D$22=0,"",$D$22*$AJ$22/$AQ$22)</f>
      </c>
      <c r="E24" s="320"/>
      <c r="F24" s="320"/>
      <c r="G24" s="320"/>
      <c r="H24" s="320"/>
      <c r="I24" s="320"/>
      <c r="J24" s="320"/>
      <c r="K24" s="320"/>
      <c r="L24" s="435"/>
      <c r="M24" s="162" t="s">
        <v>22</v>
      </c>
      <c r="N24" s="163"/>
      <c r="O24" s="163"/>
      <c r="P24" s="320">
        <f>IF($P$22=0,"",$P$22*$AJ$22/$AQ$22)</f>
      </c>
      <c r="Q24" s="320"/>
      <c r="R24" s="320"/>
      <c r="S24" s="320"/>
      <c r="T24" s="320"/>
      <c r="U24" s="320"/>
      <c r="V24" s="320"/>
      <c r="W24" s="320"/>
      <c r="X24" s="320"/>
      <c r="Y24" s="359"/>
      <c r="Z24" s="378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80"/>
      <c r="AX24" s="58"/>
      <c r="AY24" s="199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1"/>
      <c r="BW24" s="52"/>
      <c r="BX24" s="55" t="str">
        <f>IF($BY$6&lt;&gt;5,"7  meses","")</f>
        <v>7  meses</v>
      </c>
      <c r="BY24" s="56" t="str">
        <f>IF($BY$6&lt;&gt;5,"5  parcelas","")</f>
        <v>5  parcelas</v>
      </c>
      <c r="BZ24" s="55" t="s">
        <v>113</v>
      </c>
      <c r="CA24" s="55"/>
      <c r="CC24" s="130" t="s">
        <v>153</v>
      </c>
      <c r="CD24" s="153" t="s">
        <v>177</v>
      </c>
      <c r="CE24" s="126" t="str">
        <f>IF($BY$6=1,"VERDADEIRO","FALSO")</f>
        <v>FALSO</v>
      </c>
      <c r="CF24" s="154">
        <v>80</v>
      </c>
    </row>
    <row r="25" spans="1:84" ht="12" customHeight="1">
      <c r="A25" s="381" t="s">
        <v>144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4"/>
      <c r="Z25" s="272" t="s">
        <v>49</v>
      </c>
      <c r="AA25" s="273"/>
      <c r="AB25" s="273"/>
      <c r="AC25" s="273"/>
      <c r="AD25" s="273"/>
      <c r="AE25" s="273"/>
      <c r="AF25" s="273"/>
      <c r="AG25" s="274"/>
      <c r="AH25" s="233" t="s">
        <v>49</v>
      </c>
      <c r="AI25" s="233"/>
      <c r="AJ25" s="233"/>
      <c r="AK25" s="233"/>
      <c r="AL25" s="233"/>
      <c r="AM25" s="233"/>
      <c r="AN25" s="233"/>
      <c r="AO25" s="382"/>
      <c r="AP25" s="232" t="s">
        <v>147</v>
      </c>
      <c r="AQ25" s="233"/>
      <c r="AR25" s="233"/>
      <c r="AS25" s="233"/>
      <c r="AT25" s="233"/>
      <c r="AU25" s="233"/>
      <c r="AV25" s="233"/>
      <c r="AW25" s="234"/>
      <c r="AX25" s="24"/>
      <c r="AY25" s="199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1"/>
      <c r="BW25" s="52"/>
      <c r="BX25" s="55" t="str">
        <f>IF($BY$6&lt;&gt;5,"8  meses","")</f>
        <v>8  meses</v>
      </c>
      <c r="BY25" s="56" t="str">
        <f>IF($BY$6&lt;&gt;5,"6  parcelas","")</f>
        <v>6  parcelas</v>
      </c>
      <c r="BZ25" s="55" t="s">
        <v>114</v>
      </c>
      <c r="CA25" s="55"/>
      <c r="CD25" s="155"/>
      <c r="CE25" s="156"/>
      <c r="CF25" s="157"/>
    </row>
    <row r="26" spans="1:84" ht="9" customHeight="1" thickBo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407" t="s">
        <v>69</v>
      </c>
      <c r="AA26" s="407"/>
      <c r="AB26" s="407"/>
      <c r="AC26" s="407"/>
      <c r="AD26" s="407"/>
      <c r="AE26" s="407"/>
      <c r="AF26" s="407"/>
      <c r="AG26" s="408"/>
      <c r="AH26" s="236" t="s">
        <v>50</v>
      </c>
      <c r="AI26" s="236"/>
      <c r="AJ26" s="236"/>
      <c r="AK26" s="236"/>
      <c r="AL26" s="236"/>
      <c r="AM26" s="236"/>
      <c r="AN26" s="236"/>
      <c r="AO26" s="383"/>
      <c r="AP26" s="235" t="s">
        <v>148</v>
      </c>
      <c r="AQ26" s="236"/>
      <c r="AR26" s="236"/>
      <c r="AS26" s="236"/>
      <c r="AT26" s="236"/>
      <c r="AU26" s="236"/>
      <c r="AV26" s="236"/>
      <c r="AW26" s="237"/>
      <c r="AX26" s="24"/>
      <c r="AY26" s="199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1"/>
      <c r="BW26" s="52"/>
      <c r="BX26" s="55" t="str">
        <f>IF($BY$6&lt;&gt;5,"9  meses","")</f>
        <v>9  meses</v>
      </c>
      <c r="BY26" s="56" t="str">
        <f>IF($BY$6&lt;&gt;5,"7  parcelas","")</f>
        <v>7  parcelas</v>
      </c>
      <c r="BZ26" s="55" t="s">
        <v>115</v>
      </c>
      <c r="CA26" s="55"/>
      <c r="CD26" s="158"/>
      <c r="CE26" s="159"/>
      <c r="CF26" s="160"/>
    </row>
    <row r="27" spans="1:79" ht="8.25" customHeight="1">
      <c r="A27" s="308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390">
        <f>IF($BY$6=5,36,IF(BX16=2,"",BX16))</f>
      </c>
      <c r="AA27" s="390"/>
      <c r="AB27" s="390"/>
      <c r="AC27" s="390"/>
      <c r="AD27" s="390"/>
      <c r="AE27" s="390"/>
      <c r="AF27" s="390"/>
      <c r="AG27" s="391"/>
      <c r="AH27" s="402" t="e">
        <f>#REF!+2</f>
        <v>#REF!</v>
      </c>
      <c r="AI27" s="403"/>
      <c r="AJ27" s="403"/>
      <c r="AK27" s="403"/>
      <c r="AL27" s="403"/>
      <c r="AM27" s="403"/>
      <c r="AN27" s="403"/>
      <c r="AO27" s="404"/>
      <c r="AP27" s="226" t="e">
        <f>#REF!</f>
        <v>#REF!</v>
      </c>
      <c r="AQ27" s="227"/>
      <c r="AR27" s="227"/>
      <c r="AS27" s="227"/>
      <c r="AT27" s="227"/>
      <c r="AU27" s="227"/>
      <c r="AV27" s="227"/>
      <c r="AW27" s="228"/>
      <c r="AX27" s="60"/>
      <c r="AY27" s="199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1"/>
      <c r="BW27" s="42"/>
      <c r="BX27" s="55" t="str">
        <f>IF($BY$6&lt;&gt;5,"10  meses","")</f>
        <v>10  meses</v>
      </c>
      <c r="BY27" s="56" t="str">
        <f>IF($BY$6&lt;&gt;5,"8  parcelas","")</f>
        <v>8  parcelas</v>
      </c>
      <c r="BZ27" s="55" t="s">
        <v>116</v>
      </c>
      <c r="CA27" s="55"/>
    </row>
    <row r="28" spans="1:79" ht="8.25" customHeight="1">
      <c r="A28" s="309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79"/>
      <c r="Q28" s="79"/>
      <c r="R28" s="79"/>
      <c r="S28" s="79"/>
      <c r="T28" s="79"/>
      <c r="U28" s="79"/>
      <c r="V28" s="79"/>
      <c r="W28" s="79"/>
      <c r="X28" s="79"/>
      <c r="Y28" s="80"/>
      <c r="Z28" s="392"/>
      <c r="AA28" s="392"/>
      <c r="AB28" s="392"/>
      <c r="AC28" s="392"/>
      <c r="AD28" s="392"/>
      <c r="AE28" s="392"/>
      <c r="AF28" s="392"/>
      <c r="AG28" s="393"/>
      <c r="AH28" s="405"/>
      <c r="AI28" s="163"/>
      <c r="AJ28" s="163"/>
      <c r="AK28" s="163"/>
      <c r="AL28" s="163"/>
      <c r="AM28" s="163"/>
      <c r="AN28" s="163"/>
      <c r="AO28" s="406"/>
      <c r="AP28" s="229"/>
      <c r="AQ28" s="230"/>
      <c r="AR28" s="230"/>
      <c r="AS28" s="230"/>
      <c r="AT28" s="230"/>
      <c r="AU28" s="230"/>
      <c r="AV28" s="230"/>
      <c r="AW28" s="231"/>
      <c r="AX28" s="60"/>
      <c r="AY28" s="199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43"/>
      <c r="BX28" s="55" t="str">
        <f>IF($BY$6&lt;&gt;5,"11  meses","")</f>
        <v>11  meses</v>
      </c>
      <c r="BY28" s="56" t="str">
        <f>IF($BY$6&lt;&gt;5,"9  parcelas","")</f>
        <v>9  parcelas</v>
      </c>
      <c r="BZ28" s="55" t="s">
        <v>117</v>
      </c>
      <c r="CA28" s="55"/>
    </row>
    <row r="29" spans="1:79" ht="12" customHeight="1">
      <c r="A29" s="394" t="s">
        <v>55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6"/>
      <c r="Q29" s="192" t="s">
        <v>56</v>
      </c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4"/>
      <c r="AF29" s="193" t="s">
        <v>57</v>
      </c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418"/>
      <c r="AX29" s="60"/>
      <c r="AY29" s="202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4"/>
      <c r="BW29" s="44"/>
      <c r="BX29" s="55" t="str">
        <f>IF($BY$6&lt;&gt;5,"12  meses","")</f>
        <v>12  meses</v>
      </c>
      <c r="BY29" s="56" t="str">
        <f>IF($BY$6&lt;&gt;5,"10  parcelas","")</f>
        <v>10  parcelas</v>
      </c>
      <c r="BZ29" s="55" t="s">
        <v>118</v>
      </c>
      <c r="CA29" s="55"/>
    </row>
    <row r="30" spans="1:79" ht="15" customHeight="1">
      <c r="A30" s="345">
        <f>DATE(YEAR(AF30),MONTH(AF30),CB72)</f>
        <v>91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346"/>
      <c r="Q30" s="345">
        <f>DATE(YEAR(AF30),MONTH(AF30)-BY18+1,15)</f>
        <v>75</v>
      </c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3">
        <f>DATE(YEAR(BX71),MONTH(BX71)+CA18,15)</f>
        <v>75</v>
      </c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5"/>
      <c r="AX30" s="60"/>
      <c r="AY30" s="412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4"/>
      <c r="BK30" s="409" t="s">
        <v>58</v>
      </c>
      <c r="BL30" s="410"/>
      <c r="BM30" s="410"/>
      <c r="BN30" s="410"/>
      <c r="BO30" s="410"/>
      <c r="BP30" s="410"/>
      <c r="BQ30" s="410"/>
      <c r="BR30" s="410"/>
      <c r="BS30" s="410"/>
      <c r="BT30" s="410"/>
      <c r="BU30" s="410"/>
      <c r="BV30" s="411"/>
      <c r="BW30" s="40"/>
      <c r="BX30" s="55" t="str">
        <f>IF($BY$6&lt;&gt;5,"13  meses","")</f>
        <v>13  meses</v>
      </c>
      <c r="BY30" s="56" t="str">
        <f>IF($BY$6&lt;&gt;5,"11  parcelas","")</f>
        <v>11  parcelas</v>
      </c>
      <c r="BZ30" s="55" t="s">
        <v>119</v>
      </c>
      <c r="CA30" s="55"/>
    </row>
    <row r="31" spans="1:79" ht="9" customHeight="1">
      <c r="A31" s="220" t="s">
        <v>11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350" t="s">
        <v>72</v>
      </c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0" t="s">
        <v>74</v>
      </c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60"/>
      <c r="AL31" s="384" t="s">
        <v>60</v>
      </c>
      <c r="AM31" s="384"/>
      <c r="AN31" s="384"/>
      <c r="AO31" s="384"/>
      <c r="AP31" s="384"/>
      <c r="AQ31" s="384"/>
      <c r="AR31" s="384" t="s">
        <v>26</v>
      </c>
      <c r="AS31" s="384"/>
      <c r="AT31" s="384"/>
      <c r="AU31" s="384"/>
      <c r="AV31" s="384"/>
      <c r="AW31" s="385"/>
      <c r="AX31" s="24"/>
      <c r="AY31" s="369" t="s">
        <v>189</v>
      </c>
      <c r="AZ31" s="370"/>
      <c r="BA31" s="370"/>
      <c r="BB31" s="370"/>
      <c r="BC31" s="370"/>
      <c r="BD31" s="370"/>
      <c r="BE31" s="370"/>
      <c r="BF31" s="370"/>
      <c r="BG31" s="370"/>
      <c r="BH31" s="370"/>
      <c r="BI31" s="370"/>
      <c r="BJ31" s="371"/>
      <c r="BK31" s="298"/>
      <c r="BL31" s="299"/>
      <c r="BM31" s="299"/>
      <c r="BN31" s="299"/>
      <c r="BO31" s="299"/>
      <c r="BP31" s="264" t="s">
        <v>23</v>
      </c>
      <c r="BQ31" s="264"/>
      <c r="BR31" s="264"/>
      <c r="BS31" s="264"/>
      <c r="BT31" s="264"/>
      <c r="BU31" s="264"/>
      <c r="BV31" s="265"/>
      <c r="BW31" s="52"/>
      <c r="BX31" s="55" t="str">
        <f>IF($BY$6&lt;&gt;5,"14  meses","")</f>
        <v>14  meses</v>
      </c>
      <c r="BY31" s="56" t="str">
        <f>IF($BY$6&lt;&gt;5,"12  parcelas","")</f>
        <v>12  parcelas</v>
      </c>
      <c r="BZ31" s="55" t="s">
        <v>120</v>
      </c>
      <c r="CA31" s="55"/>
    </row>
    <row r="32" spans="1:85" ht="9" customHeight="1">
      <c r="A32" s="222" t="s">
        <v>47</v>
      </c>
      <c r="B32" s="223"/>
      <c r="C32" s="223"/>
      <c r="D32" s="223"/>
      <c r="E32" s="223"/>
      <c r="F32" s="223"/>
      <c r="G32" s="223"/>
      <c r="H32" s="216" t="s">
        <v>73</v>
      </c>
      <c r="I32" s="217"/>
      <c r="J32" s="217"/>
      <c r="K32" s="217"/>
      <c r="L32" s="217"/>
      <c r="M32" s="217"/>
      <c r="N32" s="352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2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61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7"/>
      <c r="AX32" s="24"/>
      <c r="AY32" s="372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4"/>
      <c r="BK32" s="300"/>
      <c r="BL32" s="301"/>
      <c r="BM32" s="301"/>
      <c r="BN32" s="301"/>
      <c r="BO32" s="301"/>
      <c r="BP32" s="266"/>
      <c r="BQ32" s="266"/>
      <c r="BR32" s="266"/>
      <c r="BS32" s="266"/>
      <c r="BT32" s="266"/>
      <c r="BU32" s="266"/>
      <c r="BV32" s="267"/>
      <c r="BW32" s="52"/>
      <c r="BX32" s="55" t="str">
        <f>IF($BY$6&lt;&gt;5,"15  meses","")</f>
        <v>15  meses</v>
      </c>
      <c r="BY32" s="56" t="str">
        <f>IF(OR($BY$6=3,$BY$7&lt;=3),"13 parcelas","")</f>
        <v>13 parcelas</v>
      </c>
      <c r="BZ32" s="55" t="s">
        <v>121</v>
      </c>
      <c r="CA32" s="55"/>
      <c r="CB32" s="2"/>
      <c r="CC32" s="2"/>
      <c r="CD32" s="2"/>
      <c r="CE32" s="2"/>
      <c r="CF32" s="2"/>
      <c r="CG32" s="2"/>
    </row>
    <row r="33" spans="1:79" ht="9" customHeight="1">
      <c r="A33" s="224"/>
      <c r="B33" s="225"/>
      <c r="C33" s="225"/>
      <c r="D33" s="225"/>
      <c r="E33" s="225"/>
      <c r="F33" s="225"/>
      <c r="G33" s="225"/>
      <c r="H33" s="218"/>
      <c r="I33" s="219"/>
      <c r="J33" s="219"/>
      <c r="K33" s="219"/>
      <c r="L33" s="219"/>
      <c r="M33" s="219"/>
      <c r="N33" s="354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4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62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9"/>
      <c r="AX33" s="24"/>
      <c r="AY33" s="399" t="s">
        <v>59</v>
      </c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0"/>
      <c r="BS33" s="400"/>
      <c r="BT33" s="400"/>
      <c r="BU33" s="400"/>
      <c r="BV33" s="401"/>
      <c r="BW33" s="52"/>
      <c r="BX33" s="55" t="str">
        <f>IF($BY$6&lt;&gt;5,"16  meses","")</f>
        <v>16  meses</v>
      </c>
      <c r="BY33" s="56" t="str">
        <f>IF(OR($BY$6=3,$BY$7&lt;=3),"14 parcelas","")</f>
        <v>14 parcelas</v>
      </c>
      <c r="BZ33" s="55" t="s">
        <v>122</v>
      </c>
      <c r="CA33" s="55"/>
    </row>
    <row r="34" spans="1:85" s="2" customFormat="1" ht="9" customHeight="1">
      <c r="A34" s="26"/>
      <c r="B34" s="23"/>
      <c r="C34" s="23"/>
      <c r="D34" s="23"/>
      <c r="E34" s="23"/>
      <c r="F34" s="23"/>
      <c r="G34" s="23"/>
      <c r="H34" s="318">
        <f>IF(AND($BY$2="TLP",$CA$2=""),100,IF(AND($BY$2="TLP",$CA$2="TJFPE"),30,0))</f>
        <v>100</v>
      </c>
      <c r="I34" s="268"/>
      <c r="J34" s="268"/>
      <c r="K34" s="268"/>
      <c r="L34" s="268" t="s">
        <v>23</v>
      </c>
      <c r="M34" s="269"/>
      <c r="N34" s="318" t="s">
        <v>22</v>
      </c>
      <c r="O34" s="268"/>
      <c r="P34" s="268"/>
      <c r="Q34" s="268">
        <f>IF($P$22=0,"",H34/100*$P$24)</f>
      </c>
      <c r="R34" s="268"/>
      <c r="S34" s="268"/>
      <c r="T34" s="268"/>
      <c r="U34" s="268"/>
      <c r="V34" s="268"/>
      <c r="W34" s="268"/>
      <c r="X34" s="268"/>
      <c r="Y34" s="268"/>
      <c r="Z34" s="318" t="s">
        <v>62</v>
      </c>
      <c r="AA34" s="268"/>
      <c r="AB34" s="268"/>
      <c r="AC34" s="268">
        <f>IF($P$22=0,"",Q34*$AQ$22)</f>
      </c>
      <c r="AD34" s="268"/>
      <c r="AE34" s="268"/>
      <c r="AF34" s="268"/>
      <c r="AG34" s="268"/>
      <c r="AH34" s="268"/>
      <c r="AI34" s="268"/>
      <c r="AJ34" s="268"/>
      <c r="AK34" s="269"/>
      <c r="AL34" s="415"/>
      <c r="AM34" s="415"/>
      <c r="AN34" s="415"/>
      <c r="AO34" s="415"/>
      <c r="AP34" s="363" t="s">
        <v>23</v>
      </c>
      <c r="AQ34" s="364"/>
      <c r="AR34" s="356"/>
      <c r="AS34" s="356"/>
      <c r="AT34" s="356"/>
      <c r="AU34" s="356"/>
      <c r="AV34" s="287" t="s">
        <v>23</v>
      </c>
      <c r="AW34" s="288"/>
      <c r="AX34" s="61"/>
      <c r="AY34" s="399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1"/>
      <c r="BW34" s="52"/>
      <c r="BX34" s="55" t="str">
        <f>IF($BY$6&lt;&gt;5,"17  meses","")</f>
        <v>17  meses</v>
      </c>
      <c r="BY34" s="56" t="str">
        <f>IF(OR($BY$6=3,$BY$7&lt;=3),"15 parcelas","")</f>
        <v>15 parcelas</v>
      </c>
      <c r="BZ34" s="55" t="s">
        <v>123</v>
      </c>
      <c r="CA34" s="55"/>
      <c r="CB34" s="4"/>
      <c r="CC34" s="4"/>
      <c r="CD34" s="4"/>
      <c r="CE34" s="4"/>
      <c r="CF34" s="4"/>
      <c r="CG34" s="4"/>
    </row>
    <row r="35" spans="1:79" ht="9" customHeight="1" thickBot="1">
      <c r="A35" s="26"/>
      <c r="B35" s="23"/>
      <c r="C35" s="23"/>
      <c r="D35" s="23"/>
      <c r="E35" s="23"/>
      <c r="F35" s="23"/>
      <c r="G35" s="23"/>
      <c r="H35" s="321"/>
      <c r="I35" s="270"/>
      <c r="J35" s="270"/>
      <c r="K35" s="270"/>
      <c r="L35" s="270"/>
      <c r="M35" s="271"/>
      <c r="N35" s="319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19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59"/>
      <c r="AL35" s="416"/>
      <c r="AM35" s="416"/>
      <c r="AN35" s="416"/>
      <c r="AO35" s="416"/>
      <c r="AP35" s="365"/>
      <c r="AQ35" s="366"/>
      <c r="AR35" s="357"/>
      <c r="AS35" s="357"/>
      <c r="AT35" s="357"/>
      <c r="AU35" s="357"/>
      <c r="AV35" s="289"/>
      <c r="AW35" s="290"/>
      <c r="AX35" s="61"/>
      <c r="AY35" s="84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52"/>
      <c r="BX35" s="55" t="str">
        <f>IF($BY$6&lt;&gt;5,"18  meses","")</f>
        <v>18  meses</v>
      </c>
      <c r="BY35" s="56" t="str">
        <f>IF(OR($BY$6=3,$BY$7&lt;=3),"16 parcelas","")</f>
        <v>16 parcelas</v>
      </c>
      <c r="BZ35" s="55" t="s">
        <v>124</v>
      </c>
      <c r="CA35" s="55"/>
    </row>
    <row r="36" spans="1:79" ht="9" customHeight="1">
      <c r="A36" s="26"/>
      <c r="B36" s="23"/>
      <c r="C36" s="23"/>
      <c r="D36" s="23"/>
      <c r="E36" s="23"/>
      <c r="F36" s="23"/>
      <c r="G36" s="23"/>
      <c r="H36" s="318">
        <f>IF(AND($BY$2="TLP",$CA$2="TJFPE"),70,IF(AND($BY$2="",$CA$2="TJFPE"),100,0))</f>
        <v>0</v>
      </c>
      <c r="I36" s="268"/>
      <c r="J36" s="268"/>
      <c r="K36" s="268"/>
      <c r="L36" s="268" t="s">
        <v>23</v>
      </c>
      <c r="M36" s="269"/>
      <c r="N36" s="318" t="s">
        <v>22</v>
      </c>
      <c r="O36" s="268"/>
      <c r="P36" s="268"/>
      <c r="Q36" s="268">
        <f>IF($P$22=0,"",H36/100*$P$24)</f>
      </c>
      <c r="R36" s="268"/>
      <c r="S36" s="268"/>
      <c r="T36" s="268"/>
      <c r="U36" s="268"/>
      <c r="V36" s="268"/>
      <c r="W36" s="268"/>
      <c r="X36" s="268"/>
      <c r="Y36" s="268"/>
      <c r="Z36" s="318" t="s">
        <v>62</v>
      </c>
      <c r="AA36" s="268"/>
      <c r="AB36" s="268"/>
      <c r="AC36" s="268">
        <f>IF($P$22=0,"",Q36*$AQ$22)</f>
      </c>
      <c r="AD36" s="268"/>
      <c r="AE36" s="268"/>
      <c r="AF36" s="268"/>
      <c r="AG36" s="268"/>
      <c r="AH36" s="268"/>
      <c r="AI36" s="268"/>
      <c r="AJ36" s="268"/>
      <c r="AK36" s="269"/>
      <c r="AL36" s="416"/>
      <c r="AM36" s="416"/>
      <c r="AN36" s="416"/>
      <c r="AO36" s="416"/>
      <c r="AP36" s="365"/>
      <c r="AQ36" s="366"/>
      <c r="AR36" s="357"/>
      <c r="AS36" s="357"/>
      <c r="AT36" s="357"/>
      <c r="AU36" s="357"/>
      <c r="AV36" s="289"/>
      <c r="AW36" s="290"/>
      <c r="AX36" s="61"/>
      <c r="AY36" s="84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6"/>
      <c r="BW36" s="52"/>
      <c r="BX36" s="55" t="str">
        <f>IF($BY$6&lt;&gt;5,"19  meses","")</f>
        <v>19  meses</v>
      </c>
      <c r="BY36" s="56" t="str">
        <f>IF(OR($BY$6=3,$BY$7&lt;=3),"17 parcelas","")</f>
        <v>17 parcelas</v>
      </c>
      <c r="BZ36" s="55" t="s">
        <v>137</v>
      </c>
      <c r="CA36" s="55"/>
    </row>
    <row r="37" spans="1:79" ht="9" customHeight="1" thickBot="1">
      <c r="A37" s="37"/>
      <c r="B37" s="38"/>
      <c r="C37" s="38"/>
      <c r="D37" s="38"/>
      <c r="E37" s="38"/>
      <c r="F37" s="38"/>
      <c r="G37" s="38"/>
      <c r="H37" s="321"/>
      <c r="I37" s="270"/>
      <c r="J37" s="270"/>
      <c r="K37" s="270"/>
      <c r="L37" s="270"/>
      <c r="M37" s="271"/>
      <c r="N37" s="321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321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1"/>
      <c r="AL37" s="417"/>
      <c r="AM37" s="417"/>
      <c r="AN37" s="417"/>
      <c r="AO37" s="417"/>
      <c r="AP37" s="367"/>
      <c r="AQ37" s="368"/>
      <c r="AR37" s="358"/>
      <c r="AS37" s="358"/>
      <c r="AT37" s="358"/>
      <c r="AU37" s="358"/>
      <c r="AV37" s="291"/>
      <c r="AW37" s="292"/>
      <c r="AX37" s="61"/>
      <c r="AY37" s="87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9"/>
      <c r="BW37" s="52"/>
      <c r="BX37" s="55" t="str">
        <f>IF($BY$6&lt;&gt;5,"20  meses","")</f>
        <v>20  meses</v>
      </c>
      <c r="BY37" s="56" t="str">
        <f>IF(OR($BY$6=3,$BY$7&lt;=3),"18 parcelas","")</f>
        <v>18 parcelas</v>
      </c>
      <c r="BZ37" s="55" t="s">
        <v>138</v>
      </c>
      <c r="CA37" s="55"/>
    </row>
    <row r="38" spans="1:79" ht="3" customHeight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 t="s">
        <v>36</v>
      </c>
      <c r="U38" s="23"/>
      <c r="V38" s="23"/>
      <c r="W38" s="23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3"/>
      <c r="BX38" s="55" t="str">
        <f>IF($BY$6&lt;&gt;5,"21  meses","")</f>
        <v>21  meses</v>
      </c>
      <c r="BY38" s="56">
        <f>IF(AND($BY$6=3,$BY$7=4),"19 parcelas","")</f>
      </c>
      <c r="BZ38" s="55" t="s">
        <v>139</v>
      </c>
      <c r="CA38" s="55"/>
    </row>
    <row r="39" spans="1:79" ht="15" customHeight="1">
      <c r="A39" s="169" t="s">
        <v>61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208"/>
      <c r="BW39" s="39"/>
      <c r="BX39" s="55" t="str">
        <f>IF($BY$6&lt;&gt;5,"22  meses","")</f>
        <v>22  meses</v>
      </c>
      <c r="BY39" s="56">
        <f>IF(AND($BY$6=3,$BY$7=4),"20 parcelas","")</f>
      </c>
      <c r="BZ39" s="55" t="s">
        <v>140</v>
      </c>
      <c r="CA39" s="55"/>
    </row>
    <row r="40" spans="1:79" ht="9.75" customHeight="1">
      <c r="A40" s="423" t="s">
        <v>146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188" t="s">
        <v>80</v>
      </c>
      <c r="Q40" s="188"/>
      <c r="R40" s="188"/>
      <c r="S40" s="209">
        <f>P22</f>
        <v>0</v>
      </c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0"/>
      <c r="AP40" s="347" t="s">
        <v>62</v>
      </c>
      <c r="AQ40" s="188"/>
      <c r="AR40" s="188"/>
      <c r="AS40" s="188"/>
      <c r="AT40" s="188"/>
      <c r="AU40" s="188"/>
      <c r="AV40" s="188"/>
      <c r="AW40" s="188"/>
      <c r="AX40" s="195">
        <f>S40*AJ22</f>
        <v>0</v>
      </c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6"/>
      <c r="BW40" s="39"/>
      <c r="BX40" s="55" t="str">
        <f>IF($BY$6&lt;&gt;5,"23  meses","")</f>
        <v>23  meses</v>
      </c>
      <c r="BY40" s="56">
        <f>IF(AND($BY$6=3,$BY$7=4),"21 parcelas","")</f>
      </c>
      <c r="BZ40" s="55" t="s">
        <v>141</v>
      </c>
      <c r="CA40" s="55"/>
    </row>
    <row r="41" spans="1:79" ht="15" customHeight="1" thickBot="1">
      <c r="A41" s="425"/>
      <c r="B41" s="426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189"/>
      <c r="Q41" s="189"/>
      <c r="R41" s="189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2"/>
      <c r="AP41" s="348"/>
      <c r="AQ41" s="349"/>
      <c r="AR41" s="349"/>
      <c r="AS41" s="349"/>
      <c r="AT41" s="349"/>
      <c r="AU41" s="349"/>
      <c r="AV41" s="349"/>
      <c r="AW41" s="349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39"/>
      <c r="BX41" s="55" t="str">
        <f>IF($BY$6&lt;&gt;5,"24  meses","")</f>
        <v>24  meses</v>
      </c>
      <c r="BY41" s="56">
        <f>IF(AND($BY$6=3,$BY$7=4),"22 parcelas","")</f>
      </c>
      <c r="BZ41" s="55" t="s">
        <v>142</v>
      </c>
      <c r="CA41" s="55"/>
    </row>
    <row r="42" spans="1:79" ht="15.75" customHeight="1">
      <c r="A42" s="169" t="s">
        <v>64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208"/>
      <c r="BW42" s="39"/>
      <c r="BX42" s="55" t="str">
        <f>IF(OR($BY$6=3,$BY$7&lt;=3),"25  meses","")</f>
        <v>25  meses</v>
      </c>
      <c r="BY42" s="56">
        <f>IF(AND($BY$6=3,$BY$7=4),"23 parcelas","")</f>
      </c>
      <c r="BZ42" s="55" t="s">
        <v>160</v>
      </c>
      <c r="CA42" s="55"/>
    </row>
    <row r="43" spans="1:78" ht="31.5" customHeight="1">
      <c r="A43" s="322" t="s">
        <v>126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4"/>
      <c r="BW43" s="39"/>
      <c r="BX43" s="55" t="str">
        <f>IF(OR($BY$6=3,$BY$7&lt;=3),"26  meses","")</f>
        <v>26  meses</v>
      </c>
      <c r="BY43" s="56">
        <f>IF(AND($BY$6=3,$BY$7=4),"24 parcelas","")</f>
      </c>
      <c r="BZ43" s="55" t="s">
        <v>161</v>
      </c>
    </row>
    <row r="44" spans="1:78" ht="45" customHeight="1" thickBot="1">
      <c r="A44" s="313" t="s">
        <v>102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5"/>
      <c r="BW44" s="39"/>
      <c r="BX44" s="55" t="str">
        <f>IF(OR($BY$6=3,$BY$7&lt;=3),"27  meses","")</f>
        <v>27  meses</v>
      </c>
      <c r="BZ44" s="55" t="s">
        <v>162</v>
      </c>
    </row>
    <row r="45" spans="1:78" ht="28.5" customHeight="1" thickBot="1">
      <c r="A45" s="169" t="s">
        <v>67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 t="s">
        <v>98</v>
      </c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208"/>
      <c r="BW45" s="39"/>
      <c r="BX45" s="55" t="str">
        <f>IF(OR($BY$6=3,$BY$7&lt;=3),"28  meses","")</f>
        <v>28  meses</v>
      </c>
      <c r="BZ45" s="55" t="s">
        <v>163</v>
      </c>
    </row>
    <row r="46" spans="1:79" ht="10.5" customHeight="1">
      <c r="A46" s="333" t="s">
        <v>65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326"/>
      <c r="T46" s="185" t="s">
        <v>66</v>
      </c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326"/>
      <c r="AJ46" s="185" t="s">
        <v>65</v>
      </c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326"/>
      <c r="BE46" s="185" t="s">
        <v>66</v>
      </c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7"/>
      <c r="BW46" s="45"/>
      <c r="BX46" s="55" t="str">
        <f>IF(OR($BY$6=3,$BY$7&lt;=3),"29  meses","")</f>
        <v>29  meses</v>
      </c>
      <c r="BY46" s="22"/>
      <c r="BZ46" s="55" t="s">
        <v>164</v>
      </c>
      <c r="CA46" s="55"/>
    </row>
    <row r="47" spans="1:79" ht="15.7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1"/>
      <c r="T47" s="206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5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1"/>
      <c r="BE47" s="206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325"/>
      <c r="BW47" s="45"/>
      <c r="BX47" s="55" t="str">
        <f>IF(OR($BY$6=3,$BY$7&lt;=3),"30  meses","")</f>
        <v>30  meses</v>
      </c>
      <c r="BY47" s="22"/>
      <c r="BZ47" s="55" t="s">
        <v>165</v>
      </c>
      <c r="CA47" s="55"/>
    </row>
    <row r="48" spans="1:79" ht="15" customHeight="1">
      <c r="A48" s="297" t="s">
        <v>68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2" t="s">
        <v>68</v>
      </c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4"/>
      <c r="BW48" s="45"/>
      <c r="BX48" s="55">
        <f>IF(AND($BY$6=3,$BY$7=4),"31  meses","")</f>
      </c>
      <c r="BY48" s="22"/>
      <c r="BZ48" s="55" t="s">
        <v>184</v>
      </c>
      <c r="CA48" s="55"/>
    </row>
    <row r="49" spans="1:79" ht="43.5" customHeight="1" thickBot="1">
      <c r="A49" s="429"/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1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430"/>
      <c r="BM49" s="430"/>
      <c r="BN49" s="430"/>
      <c r="BO49" s="430"/>
      <c r="BP49" s="430"/>
      <c r="BQ49" s="430"/>
      <c r="BR49" s="430"/>
      <c r="BS49" s="430"/>
      <c r="BT49" s="430"/>
      <c r="BU49" s="430"/>
      <c r="BV49" s="432"/>
      <c r="BW49" s="46"/>
      <c r="BX49" s="55">
        <f>IF(AND($BY$6=3,$BY$7=4),"32  meses","")</f>
      </c>
      <c r="BY49" s="22"/>
      <c r="BZ49" s="55" t="s">
        <v>185</v>
      </c>
      <c r="CA49" s="55"/>
    </row>
    <row r="50" spans="1:79" ht="10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4"/>
      <c r="AO50" s="4"/>
      <c r="AP50" s="4"/>
      <c r="AQ50" s="4"/>
      <c r="AR50" s="4"/>
      <c r="AS50" s="4"/>
      <c r="AT50" s="4"/>
      <c r="AU50" s="4"/>
      <c r="AV50" s="2"/>
      <c r="AW50" s="4"/>
      <c r="AX50" s="4"/>
      <c r="AY50" s="2"/>
      <c r="AZ50" s="4"/>
      <c r="BA50" s="4"/>
      <c r="BB50" s="2"/>
      <c r="BC50" s="4"/>
      <c r="BD50" s="4"/>
      <c r="BE50" s="2"/>
      <c r="BF50" s="4"/>
      <c r="BG50" s="4"/>
      <c r="BH50" s="2"/>
      <c r="BI50" s="4"/>
      <c r="BJ50" s="4"/>
      <c r="BK50" s="2"/>
      <c r="BL50" s="4"/>
      <c r="BM50" s="4"/>
      <c r="BN50" s="2"/>
      <c r="BO50" s="4"/>
      <c r="BP50" s="4"/>
      <c r="BQ50" s="2"/>
      <c r="BR50" s="4"/>
      <c r="BS50" s="4"/>
      <c r="BT50" s="2"/>
      <c r="BU50" s="4"/>
      <c r="BV50" s="4"/>
      <c r="BW50" s="46"/>
      <c r="BX50" s="55">
        <f>IF(AND($BY$6=3,$BY$7=4),"33  meses","")</f>
      </c>
      <c r="BY50" s="22"/>
      <c r="BZ50" s="55" t="s">
        <v>186</v>
      </c>
      <c r="CA50" s="55"/>
    </row>
    <row r="51" spans="1:79" ht="10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4"/>
      <c r="AO51" s="4"/>
      <c r="AP51" s="4"/>
      <c r="AQ51" s="4"/>
      <c r="AR51" s="4"/>
      <c r="AS51" s="4"/>
      <c r="AT51" s="4"/>
      <c r="AU51" s="4"/>
      <c r="AV51" s="2"/>
      <c r="AW51" s="4"/>
      <c r="AX51" s="4"/>
      <c r="AY51" s="2"/>
      <c r="AZ51" s="4"/>
      <c r="BA51" s="4"/>
      <c r="BB51" s="2"/>
      <c r="BC51" s="4"/>
      <c r="BD51" s="4"/>
      <c r="BE51" s="2"/>
      <c r="BF51" s="4"/>
      <c r="BG51" s="4"/>
      <c r="BH51" s="2"/>
      <c r="BI51" s="4"/>
      <c r="BJ51" s="4"/>
      <c r="BK51" s="2"/>
      <c r="BL51" s="4"/>
      <c r="BM51" s="4"/>
      <c r="BN51" s="2"/>
      <c r="BO51" s="4"/>
      <c r="BP51" s="4"/>
      <c r="BQ51" s="2"/>
      <c r="BR51" s="4"/>
      <c r="BS51" s="4"/>
      <c r="BT51" s="2"/>
      <c r="BU51" s="4"/>
      <c r="BV51" s="4"/>
      <c r="BW51" s="22"/>
      <c r="BX51" s="55">
        <f>IF(AND($BY$6=3,$BY$7=4),"34  meses","")</f>
      </c>
      <c r="BY51" s="22"/>
      <c r="BZ51" s="55" t="s">
        <v>187</v>
      </c>
      <c r="CA51" s="55"/>
    </row>
    <row r="52" spans="1:79" ht="10.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2"/>
      <c r="AW52" s="4"/>
      <c r="AX52" s="4"/>
      <c r="AY52" s="2"/>
      <c r="AZ52" s="4"/>
      <c r="BA52" s="4"/>
      <c r="BB52" s="2"/>
      <c r="BC52" s="4"/>
      <c r="BD52" s="4"/>
      <c r="BE52" s="2"/>
      <c r="BF52" s="4"/>
      <c r="BG52" s="4"/>
      <c r="BH52" s="2"/>
      <c r="BI52" s="4"/>
      <c r="BJ52" s="4"/>
      <c r="BK52" s="2"/>
      <c r="BL52" s="4"/>
      <c r="BM52" s="4"/>
      <c r="BN52" s="2"/>
      <c r="BO52" s="4"/>
      <c r="BP52" s="4"/>
      <c r="BQ52" s="2"/>
      <c r="BR52" s="4"/>
      <c r="BS52" s="4"/>
      <c r="BT52" s="2"/>
      <c r="BU52" s="4"/>
      <c r="BV52" s="4"/>
      <c r="BW52" s="13"/>
      <c r="BX52" s="55">
        <f>IF(AND($BY$6=3,$BY$7=4),"35  meses","")</f>
      </c>
      <c r="BY52" s="22"/>
      <c r="BZ52" s="55" t="s">
        <v>188</v>
      </c>
      <c r="CA52" s="55"/>
    </row>
    <row r="53" spans="1:79" ht="10.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X53" s="55">
        <f>IF(AND($BY$6=3,$BY$7=4),"36  meses","")</f>
      </c>
      <c r="BY53" s="22"/>
      <c r="BZ53" s="55" t="s">
        <v>143</v>
      </c>
      <c r="CA53" s="55"/>
    </row>
    <row r="54" spans="1:79" ht="10.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X54" s="55"/>
      <c r="BY54" s="22"/>
      <c r="BZ54" s="55"/>
      <c r="CA54" s="55"/>
    </row>
    <row r="55" spans="1:79" ht="10.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X55" s="55"/>
      <c r="BY55" s="22"/>
      <c r="BZ55" s="55"/>
      <c r="CA55" s="55"/>
    </row>
    <row r="56" spans="1:79" ht="10.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X56" s="55"/>
      <c r="BY56" s="22"/>
      <c r="BZ56" s="55"/>
      <c r="CA56" s="55"/>
    </row>
    <row r="57" spans="1:79" ht="10.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2"/>
      <c r="BX57" s="55"/>
      <c r="BY57" s="22"/>
      <c r="BZ57" s="55"/>
      <c r="CA57" s="55"/>
    </row>
    <row r="58" spans="1:79" ht="10.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2"/>
      <c r="BX58" s="55"/>
      <c r="BY58" s="22"/>
      <c r="BZ58" s="55"/>
      <c r="CA58" s="55"/>
    </row>
    <row r="59" spans="1:79" ht="10.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2"/>
      <c r="BX59" s="55"/>
      <c r="BY59" s="22"/>
      <c r="BZ59" s="55"/>
      <c r="CA59" s="55"/>
    </row>
    <row r="60" spans="1:79" ht="10.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2"/>
      <c r="BX60" s="55"/>
      <c r="BY60" s="22"/>
      <c r="BZ60" s="55"/>
      <c r="CA60" s="55"/>
    </row>
    <row r="61" spans="1:79" ht="10.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2"/>
      <c r="BX61" s="55"/>
      <c r="BY61" s="22"/>
      <c r="BZ61" s="55"/>
      <c r="CA61" s="55"/>
    </row>
    <row r="62" spans="1:79" ht="9.75" customHeight="1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13"/>
      <c r="BX62" s="55"/>
      <c r="BY62" s="22"/>
      <c r="BZ62" s="55"/>
      <c r="CA62" s="55"/>
    </row>
    <row r="63" spans="1:79" ht="10.5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X63" s="55"/>
      <c r="BY63" s="22"/>
      <c r="BZ63" s="55"/>
      <c r="CA63" s="55"/>
    </row>
    <row r="64" spans="1:79" ht="10.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X64" s="55"/>
      <c r="BY64" s="22"/>
      <c r="BZ64" s="55"/>
      <c r="CA64" s="55"/>
    </row>
    <row r="65" spans="1:79" ht="10.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X65" s="55"/>
      <c r="BY65" s="22"/>
      <c r="BZ65" s="55"/>
      <c r="CA65" s="55"/>
    </row>
    <row r="66" spans="1:76" ht="10.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X66" s="36"/>
    </row>
    <row r="67" spans="1:74" ht="10.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7" ht="10.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Y68" s="21"/>
    </row>
    <row r="69" spans="1:74" ht="10.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108" ht="31.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X70" s="94" t="s">
        <v>136</v>
      </c>
      <c r="BY70" s="91" t="s">
        <v>134</v>
      </c>
      <c r="BZ70" s="90" t="s">
        <v>135</v>
      </c>
      <c r="CA70" s="95" t="s">
        <v>154</v>
      </c>
      <c r="CB70" s="95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</row>
    <row r="71" spans="1:153" ht="10.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X71" s="74">
        <f>IF(DAY(Y22)&gt;15,DATE(YEAR(Y22),1+MONTH(Y22),15),DATE(YEAR(Y22),MONTH(Y22),15))</f>
        <v>15</v>
      </c>
      <c r="BY71" s="92" t="s">
        <v>35</v>
      </c>
      <c r="BZ71" s="92" t="s">
        <v>39</v>
      </c>
      <c r="CA71" s="96" t="s">
        <v>155</v>
      </c>
      <c r="CB71" s="95" t="s">
        <v>156</v>
      </c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</row>
    <row r="72" spans="1:153" ht="10.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Y72" s="92" t="s">
        <v>159</v>
      </c>
      <c r="BZ72" s="75" t="s">
        <v>40</v>
      </c>
      <c r="CA72" s="95">
        <f>MONTH(AF28)</f>
        <v>1</v>
      </c>
      <c r="CB72" s="95">
        <f>VLOOKUP(CA72,CA74:CB85,2,0)</f>
        <v>31</v>
      </c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</row>
    <row r="73" spans="1:108" ht="10.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Y73" s="76" t="s">
        <v>153</v>
      </c>
      <c r="CA73" s="95"/>
      <c r="CB73" s="95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</row>
    <row r="74" spans="1:108" ht="10.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Y74" s="75" t="s">
        <v>40</v>
      </c>
      <c r="BZ74" s="64"/>
      <c r="CA74" s="95">
        <v>1</v>
      </c>
      <c r="CB74" s="95">
        <v>31</v>
      </c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</row>
    <row r="75" spans="1:108" ht="10.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Z75" s="64"/>
      <c r="CA75" s="95">
        <v>2</v>
      </c>
      <c r="CB75" s="95">
        <v>28</v>
      </c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</row>
    <row r="76" spans="1:108" ht="10.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Z76" s="64"/>
      <c r="CA76" s="95">
        <v>3</v>
      </c>
      <c r="CB76" s="95">
        <v>31</v>
      </c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</row>
    <row r="77" spans="1:108" ht="10.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Z77" s="64"/>
      <c r="CA77" s="95">
        <v>4</v>
      </c>
      <c r="CB77" s="95">
        <v>30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</row>
    <row r="78" spans="1:80" ht="10.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Z78" s="64"/>
      <c r="CA78" s="58">
        <v>5</v>
      </c>
      <c r="CB78" s="58">
        <v>31</v>
      </c>
    </row>
    <row r="79" spans="1:80" ht="10.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Z79" s="64"/>
      <c r="CA79" s="95">
        <v>6</v>
      </c>
      <c r="CB79" s="97">
        <v>30</v>
      </c>
    </row>
    <row r="80" spans="1:85" ht="10.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Z80" s="64"/>
      <c r="CA80" s="58">
        <v>7</v>
      </c>
      <c r="CB80" s="98">
        <v>31</v>
      </c>
      <c r="CD80" s="2"/>
      <c r="CE80" s="2"/>
      <c r="CF80" s="2"/>
      <c r="CG80" s="2"/>
    </row>
    <row r="81" spans="1:85" ht="10.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Z81" s="64"/>
      <c r="CA81" s="95">
        <v>8</v>
      </c>
      <c r="CB81" s="98">
        <v>31</v>
      </c>
      <c r="CD81" s="13"/>
      <c r="CE81" s="13"/>
      <c r="CF81" s="13"/>
      <c r="CG81" s="13"/>
    </row>
    <row r="82" spans="1:85" ht="10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Z82" s="64"/>
      <c r="CA82" s="58">
        <v>9</v>
      </c>
      <c r="CB82" s="98">
        <v>30</v>
      </c>
      <c r="CD82" s="13"/>
      <c r="CE82" s="13"/>
      <c r="CF82" s="13"/>
      <c r="CG82" s="13"/>
    </row>
    <row r="83" spans="1:85" ht="10.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Z83" s="64"/>
      <c r="CA83" s="95">
        <v>10</v>
      </c>
      <c r="CB83" s="98">
        <v>31</v>
      </c>
      <c r="CD83" s="2"/>
      <c r="CE83" s="2"/>
      <c r="CF83" s="2"/>
      <c r="CG83" s="2"/>
    </row>
    <row r="84" spans="1:85" ht="10.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Z84" s="64"/>
      <c r="CA84" s="58">
        <v>11</v>
      </c>
      <c r="CB84" s="98">
        <v>30</v>
      </c>
      <c r="CD84" s="2"/>
      <c r="CE84" s="2"/>
      <c r="CF84" s="2"/>
      <c r="CG84" s="2"/>
    </row>
    <row r="85" spans="1:85" ht="10.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Z85" s="64"/>
      <c r="CA85" s="95">
        <v>12</v>
      </c>
      <c r="CB85" s="98">
        <v>31</v>
      </c>
      <c r="CD85" s="2"/>
      <c r="CE85" s="2"/>
      <c r="CF85" s="2"/>
      <c r="CG85" s="2"/>
    </row>
    <row r="86" spans="1:85" ht="10.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Z86" s="64"/>
      <c r="CD86" s="2"/>
      <c r="CE86" s="2"/>
      <c r="CF86" s="2"/>
      <c r="CG86" s="2"/>
    </row>
    <row r="87" spans="1:85" ht="10.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Z87" s="64"/>
      <c r="CD87" s="2"/>
      <c r="CE87" s="2"/>
      <c r="CF87" s="2"/>
      <c r="CG87" s="2"/>
    </row>
    <row r="88" spans="1:78" ht="10.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Z88" s="64"/>
    </row>
    <row r="89" spans="1:78" ht="10.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Z89" s="64"/>
    </row>
    <row r="90" spans="1:78" ht="10.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Z90" s="64"/>
    </row>
    <row r="91" spans="1:78" ht="10.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Z91" s="64"/>
    </row>
    <row r="92" spans="1:78" ht="10.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Z92" s="64"/>
    </row>
    <row r="93" spans="1:78" ht="10.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Z93" s="64"/>
    </row>
    <row r="94" spans="1:78" ht="10.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Z94" s="64"/>
    </row>
    <row r="95" spans="1:78" ht="10.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Z95" s="64"/>
    </row>
    <row r="96" spans="1:78" ht="10.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Z96" s="64"/>
    </row>
    <row r="97" spans="1:78" ht="10.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Z97" s="64"/>
    </row>
    <row r="98" spans="1:78" ht="10.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Z98" s="64"/>
    </row>
    <row r="99" spans="1:78" ht="10.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Z99" s="64"/>
    </row>
    <row r="100" spans="1:78" ht="10.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Z100" s="64"/>
    </row>
    <row r="101" spans="1:78" ht="10.5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Z101" s="64"/>
    </row>
    <row r="102" spans="1:78" ht="10.5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Z102" s="64"/>
    </row>
    <row r="103" spans="1:78" ht="10.5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Z103" s="64"/>
    </row>
    <row r="104" spans="1:78" ht="10.5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Z104" s="64"/>
    </row>
    <row r="105" spans="1:78" ht="10.5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Z105" s="64"/>
    </row>
    <row r="106" spans="1:78" ht="10.5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Z106" s="64"/>
    </row>
    <row r="107" spans="1:78" ht="10.5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Z107" s="64"/>
    </row>
    <row r="108" spans="1:78" ht="10.5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Z108" s="64"/>
    </row>
    <row r="109" spans="1:78" ht="10.5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Z109" s="64"/>
    </row>
    <row r="110" spans="1:78" ht="10.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Z110" s="64"/>
    </row>
    <row r="111" spans="1:78" ht="10.5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Z111" s="64"/>
    </row>
    <row r="112" spans="1:78" ht="10.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Z112" s="64"/>
    </row>
    <row r="113" spans="1:78" ht="10.5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Z113" s="64"/>
    </row>
    <row r="114" spans="1:78" ht="10.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Z114" s="64"/>
    </row>
    <row r="115" spans="1:78" ht="10.5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Z115" s="64"/>
    </row>
    <row r="116" spans="1:78" ht="10.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Z116" s="64"/>
    </row>
    <row r="117" spans="1:78" ht="10.5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Z117" s="64"/>
    </row>
    <row r="118" spans="1:78" ht="10.5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Z118" s="64"/>
    </row>
    <row r="119" spans="1:78" ht="10.5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Z119" s="64"/>
    </row>
    <row r="120" spans="1:78" ht="10.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Z120" s="64"/>
    </row>
    <row r="121" spans="1:78" ht="10.5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Z121" s="64"/>
    </row>
    <row r="122" spans="1:78" ht="10.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Z122" s="36"/>
    </row>
    <row r="123" spans="1:78" ht="10.5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Z123" s="36"/>
    </row>
    <row r="124" spans="1:78" ht="10.5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Z124" s="36"/>
    </row>
    <row r="125" spans="1:78" ht="10.5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Z125" s="36"/>
    </row>
    <row r="126" spans="1:78" ht="10.5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Z126" s="64"/>
    </row>
    <row r="127" spans="1:78" ht="10.5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Z127" s="64"/>
    </row>
    <row r="128" spans="1:74" ht="10.5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 ht="10.5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 ht="10.5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 ht="10.5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 ht="10.5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 ht="10.5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 ht="10.5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 ht="10.5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 ht="10.5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 ht="10.5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 ht="10.5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 ht="10.5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 ht="10.5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 ht="10.5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 ht="10.5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 ht="10.5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 ht="10.5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 ht="10.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 ht="10.5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 ht="10.5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 ht="10.5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 ht="10.5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 ht="10.5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 ht="10.5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 ht="10.5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ht="10.5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 ht="10.5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 ht="10.5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 ht="10.5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 ht="10.5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 ht="10.5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 ht="10.5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 ht="10.5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 ht="10.5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 ht="10.5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 ht="10.5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 ht="10.5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 ht="10.5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 ht="10.5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 ht="10.5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 ht="10.5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 ht="10.5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 ht="10.5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 ht="10.5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39" ht="10.5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 spans="1:39" ht="10.5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 spans="1:39" ht="10.5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 spans="1:39" ht="10.5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</sheetData>
  <sheetProtection password="9475" sheet="1"/>
  <mergeCells count="129">
    <mergeCell ref="A21:L21"/>
    <mergeCell ref="D22:L22"/>
    <mergeCell ref="A23:L23"/>
    <mergeCell ref="M22:O22"/>
    <mergeCell ref="M24:O24"/>
    <mergeCell ref="M21:Y21"/>
    <mergeCell ref="M23:Y23"/>
    <mergeCell ref="D24:L24"/>
    <mergeCell ref="P24:Y24"/>
    <mergeCell ref="P22:Y22"/>
    <mergeCell ref="AQ21:AW21"/>
    <mergeCell ref="AQ22:AW22"/>
    <mergeCell ref="Z21:AI21"/>
    <mergeCell ref="Z22:AI22"/>
    <mergeCell ref="AJ21:AP21"/>
    <mergeCell ref="A49:AI49"/>
    <mergeCell ref="AJ49:BV49"/>
    <mergeCell ref="A47:S47"/>
    <mergeCell ref="T47:AI47"/>
    <mergeCell ref="AJ47:BD47"/>
    <mergeCell ref="BE47:BV47"/>
    <mergeCell ref="A48:AI48"/>
    <mergeCell ref="AJ48:BV48"/>
    <mergeCell ref="A42:BV42"/>
    <mergeCell ref="A43:BV43"/>
    <mergeCell ref="A44:BV44"/>
    <mergeCell ref="A45:AI45"/>
    <mergeCell ref="AJ45:BV45"/>
    <mergeCell ref="A46:S46"/>
    <mergeCell ref="T46:AI46"/>
    <mergeCell ref="AJ46:BD46"/>
    <mergeCell ref="BE46:BV46"/>
    <mergeCell ref="A39:BV39"/>
    <mergeCell ref="P40:R41"/>
    <mergeCell ref="S40:AO41"/>
    <mergeCell ref="AP40:AW41"/>
    <mergeCell ref="AX40:BV41"/>
    <mergeCell ref="A40:O41"/>
    <mergeCell ref="AV34:AW37"/>
    <mergeCell ref="H36:K37"/>
    <mergeCell ref="L36:M37"/>
    <mergeCell ref="N36:P37"/>
    <mergeCell ref="Q36:Y37"/>
    <mergeCell ref="Z36:AB37"/>
    <mergeCell ref="AC36:AK37"/>
    <mergeCell ref="AY33:BV34"/>
    <mergeCell ref="H34:K35"/>
    <mergeCell ref="L34:M35"/>
    <mergeCell ref="N34:P35"/>
    <mergeCell ref="Q34:Y35"/>
    <mergeCell ref="Z34:AB35"/>
    <mergeCell ref="AC34:AK35"/>
    <mergeCell ref="AL34:AO37"/>
    <mergeCell ref="AP34:AQ37"/>
    <mergeCell ref="AR34:AU37"/>
    <mergeCell ref="BK30:BV30"/>
    <mergeCell ref="A31:M31"/>
    <mergeCell ref="N31:Y33"/>
    <mergeCell ref="Z31:AK33"/>
    <mergeCell ref="AL31:AQ33"/>
    <mergeCell ref="AR31:AW33"/>
    <mergeCell ref="BK31:BO32"/>
    <mergeCell ref="BP31:BV32"/>
    <mergeCell ref="A32:G33"/>
    <mergeCell ref="H32:M33"/>
    <mergeCell ref="A29:P29"/>
    <mergeCell ref="Q29:AE29"/>
    <mergeCell ref="AF29:AW29"/>
    <mergeCell ref="A30:P30"/>
    <mergeCell ref="Q30:AE30"/>
    <mergeCell ref="AF30:AW30"/>
    <mergeCell ref="Z26:AG26"/>
    <mergeCell ref="AH26:AO26"/>
    <mergeCell ref="AP26:AW26"/>
    <mergeCell ref="A27:F28"/>
    <mergeCell ref="G27:I28"/>
    <mergeCell ref="J27:O28"/>
    <mergeCell ref="Z27:AG28"/>
    <mergeCell ref="AH27:AO28"/>
    <mergeCell ref="AP27:AW28"/>
    <mergeCell ref="AY21:BV21"/>
    <mergeCell ref="A22:C22"/>
    <mergeCell ref="AY22:BV29"/>
    <mergeCell ref="A25:Y25"/>
    <mergeCell ref="Z25:AG25"/>
    <mergeCell ref="AJ22:AP22"/>
    <mergeCell ref="Z23:AW24"/>
    <mergeCell ref="A24:C24"/>
    <mergeCell ref="AH25:AO25"/>
    <mergeCell ref="AP25:AW25"/>
    <mergeCell ref="A20:AW20"/>
    <mergeCell ref="AY20:BV20"/>
    <mergeCell ref="A14:AB14"/>
    <mergeCell ref="AC14:AX14"/>
    <mergeCell ref="AY14:BV14"/>
    <mergeCell ref="A16:BV16"/>
    <mergeCell ref="A17:AZ17"/>
    <mergeCell ref="A13:AB13"/>
    <mergeCell ref="AC13:AX13"/>
    <mergeCell ref="AY13:BV13"/>
    <mergeCell ref="A18:AZ18"/>
    <mergeCell ref="BA18:BI18"/>
    <mergeCell ref="BJ18:BV18"/>
    <mergeCell ref="A10:BV10"/>
    <mergeCell ref="A11:AT11"/>
    <mergeCell ref="AU11:BL11"/>
    <mergeCell ref="BM11:BV11"/>
    <mergeCell ref="BE6:BV8"/>
    <mergeCell ref="BA17:BI17"/>
    <mergeCell ref="BJ17:BV17"/>
    <mergeCell ref="A12:AT12"/>
    <mergeCell ref="AU12:BL12"/>
    <mergeCell ref="BM12:BV12"/>
    <mergeCell ref="AY31:BJ32"/>
    <mergeCell ref="AY30:BJ30"/>
    <mergeCell ref="J2:BA2"/>
    <mergeCell ref="J3:O3"/>
    <mergeCell ref="P3:AL3"/>
    <mergeCell ref="Q4:AC4"/>
    <mergeCell ref="S5:AO5"/>
    <mergeCell ref="A6:L6"/>
    <mergeCell ref="A7:L7"/>
    <mergeCell ref="A8:L8"/>
    <mergeCell ref="BE1:BV1"/>
    <mergeCell ref="BE2:BV2"/>
    <mergeCell ref="BE3:BV3"/>
    <mergeCell ref="J1:BA1"/>
    <mergeCell ref="CC9:CD9"/>
    <mergeCell ref="CE9:CF9"/>
  </mergeCells>
  <conditionalFormatting sqref="A30:P30 AF30:AW30">
    <cfRule type="expression" priority="3" dxfId="16" stopIfTrue="1">
      <formula>$Z$22=""</formula>
    </cfRule>
  </conditionalFormatting>
  <conditionalFormatting sqref="Q30:AE30">
    <cfRule type="expression" priority="7" dxfId="16" stopIfTrue="1">
      <formula>$Z$22=""</formula>
    </cfRule>
    <cfRule type="cellIs" priority="8" dxfId="5" operator="lessThanOrEqual" stopIfTrue="1">
      <formula>$Z$22</formula>
    </cfRule>
  </conditionalFormatting>
  <conditionalFormatting sqref="A36 F36">
    <cfRule type="expression" priority="9" dxfId="4" stopIfTrue="1">
      <formula>$BX$61=1</formula>
    </cfRule>
  </conditionalFormatting>
  <conditionalFormatting sqref="A34:G35">
    <cfRule type="expression" priority="15" dxfId="2" stopIfTrue="1">
      <formula>$BX$51=1</formula>
    </cfRule>
    <cfRule type="expression" priority="16" dxfId="2" stopIfTrue="1">
      <formula>$BX$42=1</formula>
    </cfRule>
    <cfRule type="expression" priority="17" dxfId="1" stopIfTrue="1">
      <formula>$BX$47=1</formula>
    </cfRule>
  </conditionalFormatting>
  <conditionalFormatting sqref="P22:Y22">
    <cfRule type="expression" priority="1" dxfId="0" stopIfTrue="1">
      <formula>$CG$20="erro"</formula>
    </cfRule>
  </conditionalFormatting>
  <dataValidations count="2">
    <dataValidation allowBlank="1" showInputMessage="1" showErrorMessage="1" errorTitle="Nº da Proposta" error="Máximo de 8 caracteres." sqref="M8:U8 Q4"/>
    <dataValidation errorStyle="information" type="textLength" operator="lessThanOrEqual" allowBlank="1" showInputMessage="1" showErrorMessage="1" errorTitle="Nº da Proposta" error="Máximo de 8 caracteres" sqref="A8">
      <formula1>8</formula1>
    </dataValidation>
  </dataValidations>
  <printOptions horizontalCentered="1"/>
  <pageMargins left="0.1968503937007874" right="0.1968503937007874" top="0.5905511811023623" bottom="0.3937007874015748" header="0.2755905511811024" footer="0.4724409448818898"/>
  <pageSetup fitToHeight="0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IV134"/>
  <sheetViews>
    <sheetView showGridLines="0" zoomScaleSheetLayoutView="75" zoomScalePageLayoutView="0" workbookViewId="0" topLeftCell="A1">
      <selection activeCell="B99" sqref="B99"/>
    </sheetView>
  </sheetViews>
  <sheetFormatPr defaultColWidth="14.00390625" defaultRowHeight="10.5"/>
  <cols>
    <col min="1" max="1" width="3.421875" style="7" customWidth="1"/>
    <col min="2" max="2" width="128.421875" style="7" customWidth="1"/>
    <col min="3" max="10" width="14.00390625" style="7" customWidth="1"/>
    <col min="11" max="11" width="14.00390625" style="6" customWidth="1"/>
    <col min="12" max="16384" width="14.00390625" style="7" customWidth="1"/>
  </cols>
  <sheetData>
    <row r="2" spans="2:10" ht="15">
      <c r="B2" s="12" t="s">
        <v>14</v>
      </c>
      <c r="C2" s="5"/>
      <c r="D2" s="5"/>
      <c r="E2" s="9"/>
      <c r="F2" s="5"/>
      <c r="G2" s="5"/>
      <c r="H2" s="5"/>
      <c r="I2" s="5"/>
      <c r="J2" s="5"/>
    </row>
    <row r="3" spans="2:10" ht="15">
      <c r="B3" s="12"/>
      <c r="C3" s="5"/>
      <c r="D3" s="5"/>
      <c r="E3" s="9"/>
      <c r="F3" s="5"/>
      <c r="G3" s="5"/>
      <c r="H3" s="5"/>
      <c r="I3" s="5"/>
      <c r="J3" s="5"/>
    </row>
    <row r="4" spans="2:10" ht="12.75">
      <c r="B4" s="10" t="s">
        <v>16</v>
      </c>
      <c r="C4" s="5"/>
      <c r="D4" s="5"/>
      <c r="E4" s="9"/>
      <c r="F4" s="5"/>
      <c r="G4" s="5"/>
      <c r="H4" s="5"/>
      <c r="I4" s="5"/>
      <c r="J4" s="5"/>
    </row>
    <row r="5" spans="2:10" ht="7.5" customHeight="1">
      <c r="B5" s="8"/>
      <c r="C5" s="5"/>
      <c r="D5" s="5"/>
      <c r="E5" s="9"/>
      <c r="F5" s="5"/>
      <c r="G5" s="5"/>
      <c r="H5" s="5"/>
      <c r="I5" s="5"/>
      <c r="J5" s="5"/>
    </row>
    <row r="6" spans="2:10" ht="12.75">
      <c r="B6" s="11" t="s">
        <v>15</v>
      </c>
      <c r="C6" s="5"/>
      <c r="D6" s="5"/>
      <c r="E6" s="9"/>
      <c r="F6" s="5"/>
      <c r="G6" s="5"/>
      <c r="H6" s="5"/>
      <c r="I6" s="5"/>
      <c r="J6" s="5"/>
    </row>
    <row r="7" spans="2:10" ht="12.75">
      <c r="B7" s="8" t="s">
        <v>21</v>
      </c>
      <c r="C7" s="5"/>
      <c r="D7" s="5"/>
      <c r="E7" s="9"/>
      <c r="F7" s="5"/>
      <c r="G7" s="5"/>
      <c r="H7" s="5"/>
      <c r="I7" s="5"/>
      <c r="J7" s="5"/>
    </row>
    <row r="8" spans="2:10" ht="7.5" customHeight="1">
      <c r="B8" s="8"/>
      <c r="C8" s="5"/>
      <c r="D8" s="5"/>
      <c r="E8" s="9"/>
      <c r="F8" s="5"/>
      <c r="G8" s="5"/>
      <c r="H8" s="5"/>
      <c r="I8" s="5"/>
      <c r="J8" s="5"/>
    </row>
    <row r="9" ht="12.75">
      <c r="B9" s="10" t="s">
        <v>17</v>
      </c>
    </row>
    <row r="10" ht="7.5" customHeight="1">
      <c r="B10" s="8"/>
    </row>
    <row r="11" ht="12.75">
      <c r="B11" s="11" t="s">
        <v>33</v>
      </c>
    </row>
    <row r="12" ht="12.75">
      <c r="B12" s="8" t="s">
        <v>41</v>
      </c>
    </row>
    <row r="13" ht="7.5" customHeight="1">
      <c r="B13" s="8"/>
    </row>
    <row r="14" ht="12.75">
      <c r="B14" s="11" t="s">
        <v>7</v>
      </c>
    </row>
    <row r="15" ht="12.75">
      <c r="B15" s="8" t="s">
        <v>6</v>
      </c>
    </row>
    <row r="16" ht="7.5" customHeight="1">
      <c r="B16" s="8"/>
    </row>
    <row r="17" ht="12.75">
      <c r="B17" s="11" t="s">
        <v>0</v>
      </c>
    </row>
    <row r="18" ht="12.75">
      <c r="B18" s="8" t="s">
        <v>9</v>
      </c>
    </row>
    <row r="19" ht="6.75" customHeight="1">
      <c r="B19" s="8"/>
    </row>
    <row r="20" ht="12.75">
      <c r="B20" s="11" t="s">
        <v>4</v>
      </c>
    </row>
    <row r="21" ht="12.75">
      <c r="B21" s="8" t="s">
        <v>42</v>
      </c>
    </row>
    <row r="22" ht="6.75" customHeight="1">
      <c r="B22" s="8"/>
    </row>
    <row r="23" ht="12.75">
      <c r="B23" s="11" t="s">
        <v>2</v>
      </c>
    </row>
    <row r="24" ht="12.75">
      <c r="B24" s="8" t="s">
        <v>43</v>
      </c>
    </row>
    <row r="25" ht="6.75" customHeight="1">
      <c r="B25" s="8"/>
    </row>
    <row r="26" ht="12.75" customHeight="1">
      <c r="B26" s="11" t="s">
        <v>5</v>
      </c>
    </row>
    <row r="27" ht="12.75">
      <c r="B27" s="8" t="s">
        <v>82</v>
      </c>
    </row>
    <row r="28" ht="7.5" customHeight="1">
      <c r="B28" s="10"/>
    </row>
    <row r="29" spans="2:256" ht="12.75" customHeight="1">
      <c r="B29" s="10" t="s">
        <v>18</v>
      </c>
      <c r="D29" s="10"/>
      <c r="F29" s="10"/>
      <c r="H29" s="10"/>
      <c r="J29" s="10"/>
      <c r="K29" s="7"/>
      <c r="L29" s="10"/>
      <c r="N29" s="10"/>
      <c r="P29" s="10"/>
      <c r="R29" s="10"/>
      <c r="T29" s="10"/>
      <c r="V29" s="10"/>
      <c r="X29" s="10"/>
      <c r="Z29" s="10"/>
      <c r="AB29" s="10"/>
      <c r="AD29" s="10"/>
      <c r="AF29" s="10"/>
      <c r="AH29" s="10"/>
      <c r="AJ29" s="10"/>
      <c r="AL29" s="10"/>
      <c r="AN29" s="10"/>
      <c r="AP29" s="10"/>
      <c r="AR29" s="10"/>
      <c r="AT29" s="10"/>
      <c r="AV29" s="10"/>
      <c r="AX29" s="10"/>
      <c r="AZ29" s="10"/>
      <c r="BB29" s="10"/>
      <c r="BD29" s="10"/>
      <c r="BF29" s="10"/>
      <c r="BH29" s="10"/>
      <c r="BJ29" s="10"/>
      <c r="BL29" s="10"/>
      <c r="BN29" s="10"/>
      <c r="BP29" s="10"/>
      <c r="BR29" s="10"/>
      <c r="BT29" s="10"/>
      <c r="BV29" s="10"/>
      <c r="BX29" s="10"/>
      <c r="BZ29" s="10"/>
      <c r="CB29" s="10"/>
      <c r="CD29" s="10"/>
      <c r="CF29" s="10"/>
      <c r="CH29" s="10"/>
      <c r="CJ29" s="10"/>
      <c r="CL29" s="10"/>
      <c r="CN29" s="10"/>
      <c r="CP29" s="10"/>
      <c r="CR29" s="10"/>
      <c r="CT29" s="10"/>
      <c r="CV29" s="10"/>
      <c r="CX29" s="10"/>
      <c r="CZ29" s="10"/>
      <c r="DB29" s="10"/>
      <c r="DD29" s="10"/>
      <c r="DF29" s="10"/>
      <c r="DH29" s="10"/>
      <c r="DJ29" s="10"/>
      <c r="DL29" s="10"/>
      <c r="DN29" s="10"/>
      <c r="DP29" s="10"/>
      <c r="DR29" s="10"/>
      <c r="DT29" s="10"/>
      <c r="DV29" s="10"/>
      <c r="DX29" s="10"/>
      <c r="DZ29" s="10"/>
      <c r="EB29" s="10"/>
      <c r="ED29" s="10"/>
      <c r="EF29" s="10"/>
      <c r="EH29" s="10"/>
      <c r="EJ29" s="10"/>
      <c r="EL29" s="10"/>
      <c r="EN29" s="10"/>
      <c r="EP29" s="10"/>
      <c r="ER29" s="10"/>
      <c r="ET29" s="10"/>
      <c r="EV29" s="10"/>
      <c r="EX29" s="10"/>
      <c r="EZ29" s="10"/>
      <c r="FB29" s="10"/>
      <c r="FD29" s="10"/>
      <c r="FF29" s="10"/>
      <c r="FH29" s="10"/>
      <c r="FJ29" s="10"/>
      <c r="FL29" s="10"/>
      <c r="FN29" s="10"/>
      <c r="FP29" s="10"/>
      <c r="FR29" s="10"/>
      <c r="FT29" s="10"/>
      <c r="FV29" s="10"/>
      <c r="FX29" s="10"/>
      <c r="FZ29" s="10"/>
      <c r="GB29" s="10"/>
      <c r="GD29" s="10"/>
      <c r="GF29" s="10"/>
      <c r="GH29" s="10"/>
      <c r="GJ29" s="10"/>
      <c r="GL29" s="10"/>
      <c r="GN29" s="10"/>
      <c r="GP29" s="10"/>
      <c r="GR29" s="10"/>
      <c r="GT29" s="10"/>
      <c r="GV29" s="10"/>
      <c r="GX29" s="10"/>
      <c r="GZ29" s="10"/>
      <c r="HB29" s="10"/>
      <c r="HD29" s="10"/>
      <c r="HF29" s="10"/>
      <c r="HH29" s="10"/>
      <c r="HJ29" s="10"/>
      <c r="HL29" s="10"/>
      <c r="HN29" s="10"/>
      <c r="HP29" s="10"/>
      <c r="HR29" s="10"/>
      <c r="HT29" s="10"/>
      <c r="HV29" s="10"/>
      <c r="HX29" s="10"/>
      <c r="HZ29" s="10"/>
      <c r="IB29" s="10"/>
      <c r="ID29" s="10"/>
      <c r="IF29" s="10"/>
      <c r="IH29" s="10"/>
      <c r="IJ29" s="10"/>
      <c r="IL29" s="10"/>
      <c r="IN29" s="10"/>
      <c r="IP29" s="10"/>
      <c r="IR29" s="10"/>
      <c r="IT29" s="10"/>
      <c r="IV29" s="10"/>
    </row>
    <row r="30" spans="2:256" ht="12.75" customHeight="1">
      <c r="B30" s="10"/>
      <c r="D30" s="10"/>
      <c r="F30" s="10"/>
      <c r="H30" s="10"/>
      <c r="J30" s="10"/>
      <c r="K30" s="7"/>
      <c r="L30" s="10"/>
      <c r="N30" s="10"/>
      <c r="P30" s="10"/>
      <c r="R30" s="10"/>
      <c r="T30" s="10"/>
      <c r="V30" s="10"/>
      <c r="X30" s="10"/>
      <c r="Z30" s="10"/>
      <c r="AB30" s="10"/>
      <c r="AD30" s="10"/>
      <c r="AF30" s="10"/>
      <c r="AH30" s="10"/>
      <c r="AJ30" s="10"/>
      <c r="AL30" s="10"/>
      <c r="AN30" s="10"/>
      <c r="AP30" s="10"/>
      <c r="AR30" s="10"/>
      <c r="AT30" s="10"/>
      <c r="AV30" s="10"/>
      <c r="AX30" s="10"/>
      <c r="AZ30" s="10"/>
      <c r="BB30" s="10"/>
      <c r="BD30" s="10"/>
      <c r="BF30" s="10"/>
      <c r="BH30" s="10"/>
      <c r="BJ30" s="10"/>
      <c r="BL30" s="10"/>
      <c r="BN30" s="10"/>
      <c r="BP30" s="10"/>
      <c r="BR30" s="10"/>
      <c r="BT30" s="10"/>
      <c r="BV30" s="10"/>
      <c r="BX30" s="10"/>
      <c r="BZ30" s="10"/>
      <c r="CB30" s="10"/>
      <c r="CD30" s="10"/>
      <c r="CF30" s="10"/>
      <c r="CH30" s="10"/>
      <c r="CJ30" s="10"/>
      <c r="CL30" s="10"/>
      <c r="CN30" s="10"/>
      <c r="CP30" s="10"/>
      <c r="CR30" s="10"/>
      <c r="CT30" s="10"/>
      <c r="CV30" s="10"/>
      <c r="CX30" s="10"/>
      <c r="CZ30" s="10"/>
      <c r="DB30" s="10"/>
      <c r="DD30" s="10"/>
      <c r="DF30" s="10"/>
      <c r="DH30" s="10"/>
      <c r="DJ30" s="10"/>
      <c r="DL30" s="10"/>
      <c r="DN30" s="10"/>
      <c r="DP30" s="10"/>
      <c r="DR30" s="10"/>
      <c r="DT30" s="10"/>
      <c r="DV30" s="10"/>
      <c r="DX30" s="10"/>
      <c r="DZ30" s="10"/>
      <c r="EB30" s="10"/>
      <c r="ED30" s="10"/>
      <c r="EF30" s="10"/>
      <c r="EH30" s="10"/>
      <c r="EJ30" s="10"/>
      <c r="EL30" s="10"/>
      <c r="EN30" s="10"/>
      <c r="EP30" s="10"/>
      <c r="ER30" s="10"/>
      <c r="ET30" s="10"/>
      <c r="EV30" s="10"/>
      <c r="EX30" s="10"/>
      <c r="EZ30" s="10"/>
      <c r="FB30" s="10"/>
      <c r="FD30" s="10"/>
      <c r="FF30" s="10"/>
      <c r="FH30" s="10"/>
      <c r="FJ30" s="10"/>
      <c r="FL30" s="10"/>
      <c r="FN30" s="10"/>
      <c r="FP30" s="10"/>
      <c r="FR30" s="10"/>
      <c r="FT30" s="10"/>
      <c r="FV30" s="10"/>
      <c r="FX30" s="10"/>
      <c r="FZ30" s="10"/>
      <c r="GB30" s="10"/>
      <c r="GD30" s="10"/>
      <c r="GF30" s="10"/>
      <c r="GH30" s="10"/>
      <c r="GJ30" s="10"/>
      <c r="GL30" s="10"/>
      <c r="GN30" s="10"/>
      <c r="GP30" s="10"/>
      <c r="GR30" s="10"/>
      <c r="GT30" s="10"/>
      <c r="GV30" s="10"/>
      <c r="GX30" s="10"/>
      <c r="GZ30" s="10"/>
      <c r="HB30" s="10"/>
      <c r="HD30" s="10"/>
      <c r="HF30" s="10"/>
      <c r="HH30" s="10"/>
      <c r="HJ30" s="10"/>
      <c r="HL30" s="10"/>
      <c r="HN30" s="10"/>
      <c r="HP30" s="10"/>
      <c r="HR30" s="10"/>
      <c r="HT30" s="10"/>
      <c r="HV30" s="10"/>
      <c r="HX30" s="10"/>
      <c r="HZ30" s="10"/>
      <c r="IB30" s="10"/>
      <c r="ID30" s="10"/>
      <c r="IF30" s="10"/>
      <c r="IH30" s="10"/>
      <c r="IJ30" s="10"/>
      <c r="IL30" s="10"/>
      <c r="IN30" s="10"/>
      <c r="IP30" s="10"/>
      <c r="IR30" s="10"/>
      <c r="IT30" s="10"/>
      <c r="IV30" s="10"/>
    </row>
    <row r="31" ht="12.75" customHeight="1">
      <c r="B31" s="11" t="s">
        <v>33</v>
      </c>
    </row>
    <row r="32" ht="12.75" customHeight="1">
      <c r="B32" s="8" t="s">
        <v>44</v>
      </c>
    </row>
    <row r="33" ht="7.5" customHeight="1">
      <c r="B33" s="8"/>
    </row>
    <row r="34" ht="12.75" customHeight="1">
      <c r="B34" s="11" t="s">
        <v>7</v>
      </c>
    </row>
    <row r="35" ht="12.75" customHeight="1">
      <c r="B35" s="8" t="s">
        <v>8</v>
      </c>
    </row>
    <row r="36" ht="7.5" customHeight="1">
      <c r="B36" s="10"/>
    </row>
    <row r="37" ht="7.5" customHeight="1" hidden="1"/>
    <row r="38" ht="12.75" customHeight="1" hidden="1">
      <c r="B38" s="11" t="s">
        <v>29</v>
      </c>
    </row>
    <row r="39" ht="12.75" customHeight="1" hidden="1">
      <c r="B39" s="8" t="s">
        <v>30</v>
      </c>
    </row>
    <row r="40" ht="7.5" customHeight="1" hidden="1"/>
    <row r="41" ht="12.75" customHeight="1" hidden="1">
      <c r="B41" s="11" t="s">
        <v>28</v>
      </c>
    </row>
    <row r="42" ht="12.75" customHeight="1" hidden="1">
      <c r="B42" s="8" t="s">
        <v>31</v>
      </c>
    </row>
    <row r="43" ht="12.75">
      <c r="B43" s="10" t="s">
        <v>19</v>
      </c>
    </row>
    <row r="44" ht="6.75" customHeight="1">
      <c r="B44" s="10"/>
    </row>
    <row r="45" ht="12.75">
      <c r="B45" s="11" t="s">
        <v>83</v>
      </c>
    </row>
    <row r="46" ht="12.75">
      <c r="B46" s="8" t="s">
        <v>84</v>
      </c>
    </row>
    <row r="47" ht="12.75">
      <c r="B47" s="8" t="s">
        <v>150</v>
      </c>
    </row>
    <row r="48" ht="6.75" customHeight="1">
      <c r="B48" s="10"/>
    </row>
    <row r="49" ht="12.75">
      <c r="B49" s="47" t="s">
        <v>45</v>
      </c>
    </row>
    <row r="50" ht="12.75">
      <c r="B50" s="8" t="s">
        <v>85</v>
      </c>
    </row>
    <row r="51" ht="12.75">
      <c r="B51" s="8" t="s">
        <v>149</v>
      </c>
    </row>
    <row r="52" ht="6.75" customHeight="1">
      <c r="B52" s="11"/>
    </row>
    <row r="53" ht="12.75" customHeight="1">
      <c r="B53" s="11" t="s">
        <v>86</v>
      </c>
    </row>
    <row r="54" ht="12.75" customHeight="1">
      <c r="B54" s="8" t="s">
        <v>127</v>
      </c>
    </row>
    <row r="55" ht="6.75" customHeight="1">
      <c r="B55" s="8"/>
    </row>
    <row r="56" spans="1:256" ht="12.75">
      <c r="A56" s="11"/>
      <c r="B56" s="11" t="s">
        <v>46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2.75">
      <c r="A57" s="8"/>
      <c r="B57" s="8" t="s">
        <v>158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>
      <c r="A58" s="8"/>
      <c r="B58" s="8" t="s">
        <v>128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ht="6.75" customHeight="1">
      <c r="B59" s="11"/>
    </row>
    <row r="60" ht="12.75">
      <c r="B60" s="11" t="s">
        <v>101</v>
      </c>
    </row>
    <row r="61" ht="12.75">
      <c r="B61" s="8" t="s">
        <v>92</v>
      </c>
    </row>
    <row r="62" ht="6.75" customHeight="1">
      <c r="B62" s="11"/>
    </row>
    <row r="63" ht="12.75">
      <c r="B63" s="10" t="s">
        <v>87</v>
      </c>
    </row>
    <row r="64" ht="12.75">
      <c r="B64" s="8" t="s">
        <v>88</v>
      </c>
    </row>
    <row r="65" ht="6.75" customHeight="1">
      <c r="B65" s="11"/>
    </row>
    <row r="66" ht="12.75">
      <c r="B66" s="10" t="s">
        <v>151</v>
      </c>
    </row>
    <row r="67" ht="12.75">
      <c r="B67" s="8" t="s">
        <v>152</v>
      </c>
    </row>
    <row r="68" ht="6.75" customHeight="1">
      <c r="B68" s="11"/>
    </row>
    <row r="69" ht="12.75">
      <c r="B69" s="11" t="s">
        <v>129</v>
      </c>
    </row>
    <row r="70" ht="12.75">
      <c r="B70" s="8" t="s">
        <v>93</v>
      </c>
    </row>
    <row r="71" ht="6.75" customHeight="1">
      <c r="B71" s="11"/>
    </row>
    <row r="72" ht="12.75">
      <c r="B72" s="11" t="s">
        <v>47</v>
      </c>
    </row>
    <row r="73" ht="12.75">
      <c r="B73" s="8" t="s">
        <v>89</v>
      </c>
    </row>
    <row r="74" ht="6.75" customHeight="1">
      <c r="B74" s="11"/>
    </row>
    <row r="75" ht="12.75">
      <c r="B75" s="11" t="s">
        <v>90</v>
      </c>
    </row>
    <row r="76" ht="12.75">
      <c r="B76" s="8" t="s">
        <v>91</v>
      </c>
    </row>
    <row r="77" ht="6.75" customHeight="1">
      <c r="B77" s="11"/>
    </row>
    <row r="78" ht="12.75">
      <c r="B78" s="11" t="s">
        <v>72</v>
      </c>
    </row>
    <row r="79" ht="12.75">
      <c r="B79" s="8" t="s">
        <v>92</v>
      </c>
    </row>
    <row r="80" ht="6.75" customHeight="1">
      <c r="B80" s="11"/>
    </row>
    <row r="81" ht="12.75">
      <c r="B81" s="11" t="s">
        <v>52</v>
      </c>
    </row>
    <row r="82" ht="14.25" customHeight="1">
      <c r="B82" s="11"/>
    </row>
    <row r="83" ht="12.75">
      <c r="B83" s="11"/>
    </row>
    <row r="84" ht="13.5" customHeight="1">
      <c r="B84" s="11"/>
    </row>
    <row r="85" ht="12.75">
      <c r="B85" s="11"/>
    </row>
    <row r="86" ht="12.75">
      <c r="B86" s="11"/>
    </row>
    <row r="87" ht="12.75">
      <c r="B87" s="11"/>
    </row>
    <row r="88" ht="14.25" customHeight="1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7.5" customHeight="1"/>
    <row r="102" ht="12.75" customHeight="1">
      <c r="B102" s="11" t="s">
        <v>32</v>
      </c>
    </row>
    <row r="103" ht="12.75" customHeight="1">
      <c r="B103" s="8" t="s">
        <v>10</v>
      </c>
    </row>
    <row r="104" ht="6.75" customHeight="1">
      <c r="B104" s="11"/>
    </row>
    <row r="105" ht="12.75" customHeight="1">
      <c r="B105" s="11" t="s">
        <v>27</v>
      </c>
    </row>
    <row r="106" ht="12.75" customHeight="1">
      <c r="B106" s="8" t="s">
        <v>94</v>
      </c>
    </row>
    <row r="107" ht="7.5" customHeight="1"/>
    <row r="108" ht="12.75" customHeight="1">
      <c r="B108" s="10" t="s">
        <v>20</v>
      </c>
    </row>
    <row r="109" ht="7.5" customHeight="1"/>
    <row r="110" ht="12.75" customHeight="1">
      <c r="B110" s="11" t="s">
        <v>3</v>
      </c>
    </row>
    <row r="111" ht="12.75" customHeight="1">
      <c r="B111" s="8" t="s">
        <v>12</v>
      </c>
    </row>
    <row r="112" ht="6.75" customHeight="1">
      <c r="B112" s="48"/>
    </row>
    <row r="113" spans="2:256" ht="12.75">
      <c r="B113" s="11" t="s">
        <v>95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2:256" ht="12.75">
      <c r="B114" s="8" t="s">
        <v>96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ht="6.75" customHeight="1">
      <c r="K115" s="7"/>
    </row>
    <row r="116" spans="2:256" ht="12.75">
      <c r="B116" s="11" t="s">
        <v>58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</row>
    <row r="117" spans="2:256" ht="12.75">
      <c r="B117" s="8" t="s">
        <v>130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ht="6.75" customHeight="1">
      <c r="K118" s="7"/>
    </row>
    <row r="119" spans="2:256" ht="12.75">
      <c r="B119" s="11" t="s">
        <v>59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</row>
    <row r="120" spans="2:256" ht="25.5">
      <c r="B120" s="65" t="s">
        <v>132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ht="6.75" customHeight="1">
      <c r="K121" s="7"/>
    </row>
    <row r="122" spans="2:256" ht="12.75">
      <c r="B122" s="8" t="s">
        <v>97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2:256" ht="12.75">
      <c r="B123" s="8" t="s">
        <v>157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ht="7.5" customHeight="1">
      <c r="B124" s="8"/>
    </row>
    <row r="125" ht="12.75">
      <c r="B125" s="10" t="s">
        <v>61</v>
      </c>
    </row>
    <row r="126" ht="12.75">
      <c r="B126" s="8" t="s">
        <v>93</v>
      </c>
    </row>
    <row r="127" ht="7.5" customHeight="1">
      <c r="B127" s="8"/>
    </row>
    <row r="128" ht="12.75">
      <c r="B128" s="10" t="s">
        <v>131</v>
      </c>
    </row>
    <row r="129" ht="7.5" customHeight="1"/>
    <row r="130" ht="12.75">
      <c r="B130" s="11" t="s">
        <v>13</v>
      </c>
    </row>
    <row r="131" ht="12.75">
      <c r="B131" s="8" t="s">
        <v>103</v>
      </c>
    </row>
    <row r="132" ht="7.5" customHeight="1"/>
    <row r="133" ht="12.75">
      <c r="B133" s="11" t="s">
        <v>99</v>
      </c>
    </row>
    <row r="134" ht="12.75">
      <c r="B134" s="8" t="s">
        <v>100</v>
      </c>
    </row>
  </sheetData>
  <sheetProtection password="9475" sheet="1"/>
  <printOptions/>
  <pageMargins left="0.3937007874015748" right="0.3937007874015748" top="0.4724409448818898" bottom="0.82" header="0.4330708661417323" footer="0.33"/>
  <pageSetup fitToHeight="2" horizontalDpi="300" verticalDpi="300" orientation="portrait" paperSize="9" scale="93" r:id="rId2"/>
  <headerFooter alignWithMargins="0">
    <oddFooter>&amp;CPágina &amp;P de &amp;N</oddFooter>
  </headerFooter>
  <rowBreaks count="1" manualBreakCount="1">
    <brk id="73" min="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Simas</dc:creator>
  <cp:keywords/>
  <dc:description/>
  <cp:lastModifiedBy>Tiago de Menezes Soares</cp:lastModifiedBy>
  <cp:lastPrinted>2017-03-28T20:11:43Z</cp:lastPrinted>
  <dcterms:created xsi:type="dcterms:W3CDTF">1997-10-15T13:52:22Z</dcterms:created>
  <dcterms:modified xsi:type="dcterms:W3CDTF">2018-01-08T15:28:07Z</dcterms:modified>
  <cp:category/>
  <cp:version/>
  <cp:contentType/>
  <cp:contentStatus/>
</cp:coreProperties>
</file>