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GPECI NOVA\_03. Demandas Internas\2023\145. Tarefa 60665 - REFIN em TLP e TLP Cap para o BNDES On Line\"/>
    </mc:Choice>
  </mc:AlternateContent>
  <xr:revisionPtr revIDLastSave="0" documentId="13_ncr:1_{1C836CD3-74E8-433D-AF4A-008831427D6C}" xr6:coauthVersionLast="47" xr6:coauthVersionMax="47" xr10:uidLastSave="{00000000-0000-0000-0000-000000000000}"/>
  <bookViews>
    <workbookView xWindow="-110" yWindow="-110" windowWidth="19420" windowHeight="10560" tabRatio="776" xr2:uid="{00000000-000D-0000-FFFF-FFFF00000000}"/>
  </bookViews>
  <sheets>
    <sheet name="Modelo Refin A - UMSELIC 143" sheetId="1" r:id="rId1"/>
    <sheet name="Modelo Refin B - TFB Reais" sheetId="4" r:id="rId2"/>
    <sheet name="Modelo Refin C - UM 185" sheetId="6" r:id="rId3"/>
    <sheet name="Modelo Refin D - UM 777" sheetId="7" r:id="rId4"/>
    <sheet name="Feriados" sheetId="2" r:id="rId5"/>
    <sheet name="Série IPCA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8" i="7" l="1"/>
  <c r="AC27" i="7"/>
  <c r="AC26" i="7"/>
  <c r="AC25" i="7"/>
  <c r="AC24" i="7"/>
  <c r="AC20" i="7"/>
  <c r="AC21" i="7"/>
  <c r="AC22" i="7"/>
  <c r="AC19" i="7"/>
  <c r="AC11" i="7"/>
  <c r="AC12" i="7"/>
  <c r="AC13" i="7"/>
  <c r="AC14" i="7"/>
  <c r="AC15" i="7"/>
  <c r="AC17" i="7"/>
  <c r="L11" i="7"/>
  <c r="L12" i="7"/>
  <c r="L13" i="7"/>
  <c r="L14" i="7"/>
  <c r="L15" i="7"/>
  <c r="L17" i="7"/>
  <c r="L18" i="7"/>
  <c r="L19" i="7"/>
  <c r="L20" i="7"/>
  <c r="L21" i="7"/>
  <c r="L23" i="7"/>
  <c r="L24" i="7"/>
  <c r="L25" i="7"/>
  <c r="L26" i="7"/>
  <c r="L27" i="7"/>
  <c r="R10" i="7"/>
  <c r="A10" i="7"/>
  <c r="T10" i="6"/>
  <c r="V10" i="7"/>
  <c r="E10" i="7"/>
  <c r="C158" i="8" l="1"/>
  <c r="C159" i="8" s="1"/>
  <c r="U11" i="7"/>
  <c r="D11" i="7"/>
  <c r="T10" i="7"/>
  <c r="S10" i="7" s="1"/>
  <c r="R11" i="7"/>
  <c r="R12" i="7" s="1"/>
  <c r="R13" i="7" s="1"/>
  <c r="R14" i="7" s="1"/>
  <c r="R15" i="7" s="1"/>
  <c r="R16" i="7" s="1"/>
  <c r="AE16" i="7" s="1"/>
  <c r="C10" i="7"/>
  <c r="G10" i="7" s="1"/>
  <c r="A11" i="7"/>
  <c r="A12" i="7" s="1"/>
  <c r="A13" i="7" s="1"/>
  <c r="A14" i="7" s="1"/>
  <c r="A15" i="7" s="1"/>
  <c r="A16" i="7" s="1"/>
  <c r="N16" i="7" s="1"/>
  <c r="S9" i="7"/>
  <c r="B9" i="7"/>
  <c r="T4" i="7"/>
  <c r="P9" i="6"/>
  <c r="B9" i="6"/>
  <c r="D12" i="7" l="1"/>
  <c r="E12" i="7" s="1"/>
  <c r="E11" i="7"/>
  <c r="T11" i="7"/>
  <c r="X11" i="7" s="1"/>
  <c r="V11" i="7"/>
  <c r="T19" i="7"/>
  <c r="X19" i="7" s="1"/>
  <c r="V19" i="7"/>
  <c r="C160" i="8"/>
  <c r="C161" i="8" s="1"/>
  <c r="C162" i="8" s="1"/>
  <c r="C163" i="8" s="1"/>
  <c r="C164" i="8" s="1"/>
  <c r="C165" i="8" s="1"/>
  <c r="C166" i="8" s="1"/>
  <c r="C167" i="8" s="1"/>
  <c r="C168" i="8" s="1"/>
  <c r="C169" i="8" s="1"/>
  <c r="C170" i="8" s="1"/>
  <c r="C171" i="8" s="1"/>
  <c r="C172" i="8" s="1"/>
  <c r="C173" i="8" s="1"/>
  <c r="C174" i="8" s="1"/>
  <c r="C175" i="8" s="1"/>
  <c r="C176" i="8" s="1"/>
  <c r="C177" i="8" s="1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3" i="8" s="1"/>
  <c r="C194" i="8" s="1"/>
  <c r="C195" i="8" s="1"/>
  <c r="C196" i="8" s="1"/>
  <c r="C197" i="8" s="1"/>
  <c r="C198" i="8" s="1"/>
  <c r="C199" i="8" s="1"/>
  <c r="C200" i="8" s="1"/>
  <c r="C201" i="8" s="1"/>
  <c r="C202" i="8" s="1"/>
  <c r="C203" i="8" s="1"/>
  <c r="C204" i="8" s="1"/>
  <c r="C205" i="8" s="1"/>
  <c r="C206" i="8" s="1"/>
  <c r="C207" i="8" s="1"/>
  <c r="C208" i="8" s="1"/>
  <c r="C209" i="8" s="1"/>
  <c r="C210" i="8" s="1"/>
  <c r="C211" i="8" s="1"/>
  <c r="C212" i="8" s="1"/>
  <c r="C213" i="8" s="1"/>
  <c r="C214" i="8" s="1"/>
  <c r="C215" i="8" s="1"/>
  <c r="C216" i="8" s="1"/>
  <c r="C217" i="8" s="1"/>
  <c r="C218" i="8" s="1"/>
  <c r="C219" i="8" s="1"/>
  <c r="C220" i="8" s="1"/>
  <c r="C221" i="8" s="1"/>
  <c r="C222" i="8" s="1"/>
  <c r="C223" i="8" s="1"/>
  <c r="C224" i="8" s="1"/>
  <c r="C225" i="8" s="1"/>
  <c r="C226" i="8" s="1"/>
  <c r="C227" i="8" s="1"/>
  <c r="C228" i="8" s="1"/>
  <c r="C229" i="8" s="1"/>
  <c r="C230" i="8" s="1"/>
  <c r="C231" i="8" s="1"/>
  <c r="C232" i="8" s="1"/>
  <c r="C233" i="8" s="1"/>
  <c r="C234" i="8" s="1"/>
  <c r="C235" i="8" s="1"/>
  <c r="C236" i="8" s="1"/>
  <c r="C237" i="8" s="1"/>
  <c r="C238" i="8" s="1"/>
  <c r="C239" i="8" s="1"/>
  <c r="C240" i="8" s="1"/>
  <c r="C241" i="8" s="1"/>
  <c r="C242" i="8" s="1"/>
  <c r="C243" i="8" s="1"/>
  <c r="C244" i="8" s="1"/>
  <c r="C245" i="8" s="1"/>
  <c r="C246" i="8" s="1"/>
  <c r="C247" i="8" s="1"/>
  <c r="C248" i="8" s="1"/>
  <c r="C249" i="8" s="1"/>
  <c r="C250" i="8" s="1"/>
  <c r="C251" i="8" s="1"/>
  <c r="C252" i="8" s="1"/>
  <c r="C253" i="8" s="1"/>
  <c r="C254" i="8" s="1"/>
  <c r="C255" i="8" s="1"/>
  <c r="C256" i="8" s="1"/>
  <c r="C257" i="8" s="1"/>
  <c r="C258" i="8" s="1"/>
  <c r="C259" i="8" s="1"/>
  <c r="C260" i="8" s="1"/>
  <c r="C261" i="8" s="1"/>
  <c r="C262" i="8" s="1"/>
  <c r="C263" i="8" s="1"/>
  <c r="C264" i="8" s="1"/>
  <c r="C265" i="8" s="1"/>
  <c r="C266" i="8" s="1"/>
  <c r="C267" i="8" s="1"/>
  <c r="C268" i="8" s="1"/>
  <c r="C269" i="8" s="1"/>
  <c r="C270" i="8" s="1"/>
  <c r="C271" i="8" s="1"/>
  <c r="C272" i="8" s="1"/>
  <c r="C273" i="8" s="1"/>
  <c r="C274" i="8" s="1"/>
  <c r="C275" i="8" s="1"/>
  <c r="C276" i="8" s="1"/>
  <c r="C277" i="8" s="1"/>
  <c r="C278" i="8" s="1"/>
  <c r="C279" i="8" s="1"/>
  <c r="C280" i="8" s="1"/>
  <c r="C281" i="8" s="1"/>
  <c r="C282" i="8" s="1"/>
  <c r="C283" i="8" s="1"/>
  <c r="C284" i="8" s="1"/>
  <c r="C285" i="8" s="1"/>
  <c r="C286" i="8" s="1"/>
  <c r="C287" i="8" s="1"/>
  <c r="C288" i="8" s="1"/>
  <c r="C289" i="8" s="1"/>
  <c r="C290" i="8" s="1"/>
  <c r="C291" i="8" s="1"/>
  <c r="C292" i="8" s="1"/>
  <c r="C293" i="8" s="1"/>
  <c r="C294" i="8" s="1"/>
  <c r="C295" i="8" s="1"/>
  <c r="C296" i="8" s="1"/>
  <c r="C297" i="8" s="1"/>
  <c r="C298" i="8" s="1"/>
  <c r="C299" i="8" s="1"/>
  <c r="C300" i="8" s="1"/>
  <c r="C301" i="8" s="1"/>
  <c r="C302" i="8" s="1"/>
  <c r="C303" i="8" s="1"/>
  <c r="C304" i="8" s="1"/>
  <c r="C305" i="8" s="1"/>
  <c r="C306" i="8" s="1"/>
  <c r="C307" i="8" s="1"/>
  <c r="C308" i="8" s="1"/>
  <c r="C309" i="8" s="1"/>
  <c r="C310" i="8" s="1"/>
  <c r="C311" i="8" s="1"/>
  <c r="C312" i="8" s="1"/>
  <c r="C313" i="8" s="1"/>
  <c r="C314" i="8" s="1"/>
  <c r="C315" i="8" s="1"/>
  <c r="C316" i="8" s="1"/>
  <c r="C317" i="8" s="1"/>
  <c r="C318" i="8" s="1"/>
  <c r="C319" i="8" s="1"/>
  <c r="C320" i="8" s="1"/>
  <c r="C321" i="8" s="1"/>
  <c r="C322" i="8" s="1"/>
  <c r="C323" i="8" s="1"/>
  <c r="U12" i="7"/>
  <c r="V12" i="7" s="1"/>
  <c r="R17" i="7"/>
  <c r="R18" i="7" s="1"/>
  <c r="A17" i="7"/>
  <c r="A18" i="7" s="1"/>
  <c r="A19" i="7" s="1"/>
  <c r="A20" i="7" s="1"/>
  <c r="A21" i="7" s="1"/>
  <c r="A22" i="7" s="1"/>
  <c r="W10" i="7"/>
  <c r="Y10" i="7" s="1"/>
  <c r="C11" i="7"/>
  <c r="U20" i="7"/>
  <c r="V20" i="7" s="1"/>
  <c r="B10" i="7"/>
  <c r="X10" i="7"/>
  <c r="O22" i="1"/>
  <c r="Q10" i="6"/>
  <c r="C10" i="6"/>
  <c r="W28" i="6"/>
  <c r="N22" i="7" l="1"/>
  <c r="C12" i="7"/>
  <c r="G12" i="7" s="1"/>
  <c r="D13" i="7"/>
  <c r="E13" i="7" s="1"/>
  <c r="U13" i="7"/>
  <c r="V13" i="7" s="1"/>
  <c r="T12" i="7"/>
  <c r="W12" i="7" s="1"/>
  <c r="Z12" i="7" s="1"/>
  <c r="W11" i="7"/>
  <c r="Y11" i="7" s="1"/>
  <c r="W19" i="7"/>
  <c r="A23" i="7"/>
  <c r="A24" i="7" s="1"/>
  <c r="A25" i="7" s="1"/>
  <c r="A26" i="7" s="1"/>
  <c r="A27" i="7" s="1"/>
  <c r="A28" i="7" s="1"/>
  <c r="N28" i="7" s="1"/>
  <c r="T20" i="7"/>
  <c r="X20" i="7" s="1"/>
  <c r="U21" i="7"/>
  <c r="V21" i="7" s="1"/>
  <c r="D14" i="7"/>
  <c r="E14" i="7" s="1"/>
  <c r="F11" i="7"/>
  <c r="I11" i="7" s="1"/>
  <c r="F10" i="7"/>
  <c r="H10" i="7" s="1"/>
  <c r="G11" i="7"/>
  <c r="T13" i="7"/>
  <c r="X13" i="7" s="1"/>
  <c r="Z10" i="7"/>
  <c r="AA10" i="7"/>
  <c r="O10" i="6"/>
  <c r="O11" i="6" s="1"/>
  <c r="O12" i="6" s="1"/>
  <c r="O13" i="6" s="1"/>
  <c r="O14" i="6" s="1"/>
  <c r="O15" i="6" s="1"/>
  <c r="O16" i="6" s="1"/>
  <c r="Q4" i="6"/>
  <c r="W27" i="6"/>
  <c r="W26" i="6"/>
  <c r="W25" i="6"/>
  <c r="W24" i="6"/>
  <c r="W21" i="6"/>
  <c r="W20" i="6"/>
  <c r="W19" i="6"/>
  <c r="W18" i="6"/>
  <c r="W15" i="6"/>
  <c r="W14" i="6"/>
  <c r="W13" i="6"/>
  <c r="W12" i="6"/>
  <c r="W11" i="6"/>
  <c r="R11" i="6"/>
  <c r="A10" i="6"/>
  <c r="C13" i="7" l="1"/>
  <c r="G13" i="7" s="1"/>
  <c r="X12" i="7"/>
  <c r="Y12" i="7" s="1"/>
  <c r="Z11" i="7"/>
  <c r="U14" i="7"/>
  <c r="V14" i="7" s="1"/>
  <c r="F12" i="7"/>
  <c r="H12" i="7" s="1"/>
  <c r="AA12" i="7"/>
  <c r="H11" i="7"/>
  <c r="AA11" i="7"/>
  <c r="AA19" i="7"/>
  <c r="Y19" i="7"/>
  <c r="Z19" i="7"/>
  <c r="Q11" i="6"/>
  <c r="AB10" i="7"/>
  <c r="AC10" i="7" s="1"/>
  <c r="J10" i="7"/>
  <c r="I10" i="7"/>
  <c r="J11" i="7"/>
  <c r="K11" i="7" s="1"/>
  <c r="D15" i="7"/>
  <c r="E15" i="7" s="1"/>
  <c r="C14" i="7"/>
  <c r="G14" i="7" s="1"/>
  <c r="W13" i="7"/>
  <c r="Y13" i="7" s="1"/>
  <c r="U22" i="7"/>
  <c r="V22" i="7" s="1"/>
  <c r="T21" i="7"/>
  <c r="X21" i="7" s="1"/>
  <c r="W20" i="7"/>
  <c r="Y20" i="7" s="1"/>
  <c r="Y16" i="6"/>
  <c r="O17" i="6" s="1"/>
  <c r="P10" i="6"/>
  <c r="R12" i="6"/>
  <c r="U15" i="7" l="1"/>
  <c r="V15" i="7" s="1"/>
  <c r="F13" i="7"/>
  <c r="J13" i="7" s="1"/>
  <c r="T14" i="7"/>
  <c r="W14" i="7" s="1"/>
  <c r="AB11" i="7"/>
  <c r="AB12" i="7" s="1"/>
  <c r="I12" i="7"/>
  <c r="J12" i="7"/>
  <c r="S10" i="6"/>
  <c r="S11" i="6"/>
  <c r="Q12" i="6"/>
  <c r="K10" i="7"/>
  <c r="L10" i="7" s="1"/>
  <c r="AA20" i="7"/>
  <c r="Z20" i="7"/>
  <c r="W21" i="7"/>
  <c r="Y21" i="7" s="1"/>
  <c r="C15" i="7"/>
  <c r="F15" i="7" s="1"/>
  <c r="D16" i="7"/>
  <c r="E16" i="7" s="1"/>
  <c r="F14" i="7"/>
  <c r="H14" i="7" s="1"/>
  <c r="U16" i="7"/>
  <c r="V16" i="7" s="1"/>
  <c r="AA13" i="7"/>
  <c r="Z13" i="7"/>
  <c r="T22" i="7"/>
  <c r="W22" i="7" s="1"/>
  <c r="U23" i="7"/>
  <c r="V23" i="7" s="1"/>
  <c r="R13" i="6"/>
  <c r="X14" i="7" l="1"/>
  <c r="Y14" i="7" s="1"/>
  <c r="H13" i="7"/>
  <c r="I13" i="7"/>
  <c r="T15" i="7"/>
  <c r="X15" i="7" s="1"/>
  <c r="K12" i="7"/>
  <c r="Q13" i="6"/>
  <c r="S12" i="6"/>
  <c r="AB13" i="7"/>
  <c r="AA22" i="7"/>
  <c r="Z22" i="7"/>
  <c r="J15" i="7"/>
  <c r="I15" i="7"/>
  <c r="J14" i="7"/>
  <c r="I14" i="7"/>
  <c r="C16" i="7"/>
  <c r="B16" i="7" s="1"/>
  <c r="D17" i="7"/>
  <c r="E17" i="7" s="1"/>
  <c r="G15" i="7"/>
  <c r="H15" i="7" s="1"/>
  <c r="Z14" i="7"/>
  <c r="AA14" i="7"/>
  <c r="X22" i="7"/>
  <c r="Y22" i="7" s="1"/>
  <c r="U24" i="7"/>
  <c r="V24" i="7" s="1"/>
  <c r="T23" i="7"/>
  <c r="S23" i="7" s="1"/>
  <c r="AA21" i="7"/>
  <c r="Z21" i="7"/>
  <c r="U17" i="7"/>
  <c r="T16" i="7"/>
  <c r="S16" i="7" s="1"/>
  <c r="R14" i="6"/>
  <c r="U11" i="6"/>
  <c r="T11" i="6"/>
  <c r="U10" i="6"/>
  <c r="W15" i="7" l="1"/>
  <c r="Y15" i="7" s="1"/>
  <c r="K13" i="7"/>
  <c r="K14" i="7" s="1"/>
  <c r="K15" i="7" s="1"/>
  <c r="V17" i="7"/>
  <c r="U18" i="7"/>
  <c r="V10" i="6"/>
  <c r="W10" i="6" s="1"/>
  <c r="Q14" i="6"/>
  <c r="S14" i="6" s="1"/>
  <c r="S13" i="6"/>
  <c r="T13" i="6" s="1"/>
  <c r="AB14" i="7"/>
  <c r="F16" i="7"/>
  <c r="H16" i="7" s="1"/>
  <c r="U25" i="7"/>
  <c r="V25" i="7" s="1"/>
  <c r="T24" i="7"/>
  <c r="X24" i="7" s="1"/>
  <c r="X16" i="7"/>
  <c r="T17" i="7"/>
  <c r="W16" i="7"/>
  <c r="Y16" i="7" s="1"/>
  <c r="W23" i="7"/>
  <c r="Y23" i="7" s="1"/>
  <c r="G16" i="7"/>
  <c r="X23" i="7"/>
  <c r="C17" i="7"/>
  <c r="G17" i="7" s="1"/>
  <c r="D18" i="7"/>
  <c r="E18" i="7" s="1"/>
  <c r="V11" i="6"/>
  <c r="U12" i="6"/>
  <c r="T12" i="6"/>
  <c r="R15" i="6"/>
  <c r="Z15" i="7" l="1"/>
  <c r="AA15" i="7"/>
  <c r="V18" i="7"/>
  <c r="T18" i="7"/>
  <c r="X18" i="7" s="1"/>
  <c r="X17" i="7"/>
  <c r="W18" i="7"/>
  <c r="W17" i="7"/>
  <c r="AA17" i="7" s="1"/>
  <c r="U13" i="6"/>
  <c r="Q15" i="6"/>
  <c r="S15" i="6" s="1"/>
  <c r="AB15" i="7"/>
  <c r="W24" i="7"/>
  <c r="AA23" i="7"/>
  <c r="Z23" i="7"/>
  <c r="I16" i="7"/>
  <c r="J16" i="7"/>
  <c r="AA16" i="7"/>
  <c r="Z16" i="7"/>
  <c r="D19" i="7"/>
  <c r="E19" i="7" s="1"/>
  <c r="C18" i="7"/>
  <c r="G18" i="7" s="1"/>
  <c r="T25" i="7"/>
  <c r="U26" i="7"/>
  <c r="V26" i="7" s="1"/>
  <c r="F17" i="7"/>
  <c r="H17" i="7" s="1"/>
  <c r="R16" i="6"/>
  <c r="V12" i="6"/>
  <c r="V13" i="6" s="1"/>
  <c r="Z17" i="7" l="1"/>
  <c r="Y17" i="7"/>
  <c r="Y18" i="7"/>
  <c r="Z18" i="7"/>
  <c r="AA18" i="7"/>
  <c r="AA24" i="7"/>
  <c r="Y24" i="7"/>
  <c r="AB16" i="7"/>
  <c r="AC16" i="7" s="1"/>
  <c r="R17" i="6"/>
  <c r="Q16" i="6"/>
  <c r="K16" i="7"/>
  <c r="L16" i="7" s="1"/>
  <c r="Z24" i="7"/>
  <c r="F18" i="7"/>
  <c r="H18" i="7" s="1"/>
  <c r="T26" i="7"/>
  <c r="X26" i="7" s="1"/>
  <c r="U27" i="7"/>
  <c r="V27" i="7" s="1"/>
  <c r="D20" i="7"/>
  <c r="E20" i="7" s="1"/>
  <c r="C19" i="7"/>
  <c r="W25" i="7"/>
  <c r="J17" i="7"/>
  <c r="I17" i="7"/>
  <c r="X25" i="7"/>
  <c r="U15" i="6"/>
  <c r="T15" i="6"/>
  <c r="T14" i="6"/>
  <c r="U14" i="6"/>
  <c r="Y25" i="7" l="1"/>
  <c r="AB17" i="7"/>
  <c r="AB18" i="7" s="1"/>
  <c r="AC18" i="7" s="1"/>
  <c r="AB24" i="7"/>
  <c r="AE18" i="7"/>
  <c r="R19" i="7" s="1"/>
  <c r="R20" i="7" s="1"/>
  <c r="R21" i="7" s="1"/>
  <c r="R22" i="7" s="1"/>
  <c r="R23" i="7" s="1"/>
  <c r="Q17" i="6"/>
  <c r="P16" i="6"/>
  <c r="K17" i="7"/>
  <c r="U28" i="7"/>
  <c r="V28" i="7" s="1"/>
  <c r="T27" i="7"/>
  <c r="AA25" i="7"/>
  <c r="Z25" i="7"/>
  <c r="I18" i="7"/>
  <c r="J18" i="7"/>
  <c r="G19" i="7"/>
  <c r="D21" i="7"/>
  <c r="E21" i="7" s="1"/>
  <c r="C20" i="7"/>
  <c r="F20" i="7" s="1"/>
  <c r="F19" i="7"/>
  <c r="W26" i="7"/>
  <c r="Y26" i="7" s="1"/>
  <c r="V14" i="6"/>
  <c r="V15" i="6" s="1"/>
  <c r="AC23" i="7" l="1"/>
  <c r="AE23" i="7"/>
  <c r="R24" i="7" s="1"/>
  <c r="R25" i="7" s="1"/>
  <c r="R26" i="7" s="1"/>
  <c r="R27" i="7" s="1"/>
  <c r="R28" i="7" s="1"/>
  <c r="R29" i="7" s="1"/>
  <c r="AE29" i="7" s="1"/>
  <c r="H19" i="7"/>
  <c r="AB19" i="7"/>
  <c r="AB20" i="7" s="1"/>
  <c r="AB21" i="7" s="1"/>
  <c r="AB22" i="7" s="1"/>
  <c r="AB23" i="7" s="1"/>
  <c r="AB25" i="7"/>
  <c r="S16" i="6"/>
  <c r="U16" i="6" s="1"/>
  <c r="S17" i="6"/>
  <c r="K18" i="7"/>
  <c r="J20" i="7"/>
  <c r="I20" i="7"/>
  <c r="AA26" i="7"/>
  <c r="Z26" i="7"/>
  <c r="T28" i="7"/>
  <c r="W28" i="7" s="1"/>
  <c r="U29" i="7"/>
  <c r="V29" i="7" s="1"/>
  <c r="J19" i="7"/>
  <c r="I19" i="7"/>
  <c r="W27" i="7"/>
  <c r="G20" i="7"/>
  <c r="H20" i="7" s="1"/>
  <c r="D22" i="7"/>
  <c r="E22" i="7" s="1"/>
  <c r="C21" i="7"/>
  <c r="F21" i="7" s="1"/>
  <c r="X27" i="7"/>
  <c r="Q18" i="6"/>
  <c r="R19" i="6"/>
  <c r="Y27" i="7" l="1"/>
  <c r="AB26" i="7"/>
  <c r="T16" i="6"/>
  <c r="K19" i="7"/>
  <c r="K20" i="7" s="1"/>
  <c r="AA28" i="7"/>
  <c r="Z28" i="7"/>
  <c r="J21" i="7"/>
  <c r="I21" i="7"/>
  <c r="G21" i="7"/>
  <c r="H21" i="7" s="1"/>
  <c r="D23" i="7"/>
  <c r="E23" i="7" s="1"/>
  <c r="C22" i="7"/>
  <c r="B22" i="7" s="1"/>
  <c r="X28" i="7"/>
  <c r="Y28" i="7" s="1"/>
  <c r="T29" i="7"/>
  <c r="S29" i="7" s="1"/>
  <c r="AA27" i="7"/>
  <c r="Z27" i="7"/>
  <c r="S18" i="6"/>
  <c r="U18" i="6" s="1"/>
  <c r="Q19" i="6"/>
  <c r="S19" i="6" s="1"/>
  <c r="V16" i="6"/>
  <c r="W16" i="6" s="1"/>
  <c r="Y17" i="6" s="1"/>
  <c r="O18" i="6" s="1"/>
  <c r="O19" i="6" s="1"/>
  <c r="O20" i="6" s="1"/>
  <c r="O21" i="6" s="1"/>
  <c r="O22" i="6" s="1"/>
  <c r="O23" i="6" s="1"/>
  <c r="U17" i="6"/>
  <c r="T17" i="6"/>
  <c r="R20" i="6"/>
  <c r="AB27" i="7" l="1"/>
  <c r="AB28" i="7" s="1"/>
  <c r="K21" i="7"/>
  <c r="C23" i="7"/>
  <c r="F23" i="7" s="1"/>
  <c r="D24" i="7"/>
  <c r="E24" i="7" s="1"/>
  <c r="X29" i="7"/>
  <c r="W29" i="7"/>
  <c r="Y29" i="7" s="1"/>
  <c r="F22" i="7"/>
  <c r="H22" i="7" s="1"/>
  <c r="G22" i="7"/>
  <c r="Y23" i="6"/>
  <c r="O24" i="6" s="1"/>
  <c r="O25" i="6" s="1"/>
  <c r="O26" i="6" s="1"/>
  <c r="O27" i="6" s="1"/>
  <c r="O28" i="6" s="1"/>
  <c r="O29" i="6" s="1"/>
  <c r="Y29" i="6" s="1"/>
  <c r="V17" i="6"/>
  <c r="W17" i="6" s="1"/>
  <c r="T18" i="6"/>
  <c r="V18" i="6" s="1"/>
  <c r="Q20" i="6"/>
  <c r="R21" i="6"/>
  <c r="J23" i="7" l="1"/>
  <c r="I23" i="7"/>
  <c r="I22" i="7"/>
  <c r="J22" i="7"/>
  <c r="AA29" i="7"/>
  <c r="Z29" i="7"/>
  <c r="G23" i="7"/>
  <c r="H23" i="7" s="1"/>
  <c r="D25" i="7"/>
  <c r="E25" i="7" s="1"/>
  <c r="C24" i="7"/>
  <c r="F24" i="7" s="1"/>
  <c r="Q21" i="6"/>
  <c r="S20" i="6"/>
  <c r="R22" i="6"/>
  <c r="T19" i="6"/>
  <c r="U19" i="6"/>
  <c r="K22" i="7" l="1"/>
  <c r="L22" i="7" s="1"/>
  <c r="K23" i="7"/>
  <c r="AB29" i="7"/>
  <c r="AC29" i="7" s="1"/>
  <c r="J24" i="7"/>
  <c r="I24" i="7"/>
  <c r="G24" i="7"/>
  <c r="H24" i="7" s="1"/>
  <c r="D26" i="7"/>
  <c r="E26" i="7" s="1"/>
  <c r="C25" i="7"/>
  <c r="F25" i="7" s="1"/>
  <c r="Q22" i="6"/>
  <c r="S22" i="6" s="1"/>
  <c r="S21" i="6"/>
  <c r="V19" i="6"/>
  <c r="T20" i="6"/>
  <c r="U20" i="6"/>
  <c r="R23" i="6"/>
  <c r="K24" i="7" l="1"/>
  <c r="J25" i="7"/>
  <c r="I25" i="7"/>
  <c r="G25" i="7"/>
  <c r="H25" i="7" s="1"/>
  <c r="C26" i="7"/>
  <c r="G26" i="7" s="1"/>
  <c r="D27" i="7"/>
  <c r="E27" i="7" s="1"/>
  <c r="Q23" i="6"/>
  <c r="P23" i="6" s="1"/>
  <c r="V20" i="6"/>
  <c r="R24" i="6"/>
  <c r="U21" i="6"/>
  <c r="T21" i="6"/>
  <c r="K25" i="7" l="1"/>
  <c r="D28" i="7"/>
  <c r="E28" i="7" s="1"/>
  <c r="C27" i="7"/>
  <c r="G27" i="7" s="1"/>
  <c r="F26" i="7"/>
  <c r="H26" i="7" s="1"/>
  <c r="S23" i="6"/>
  <c r="U23" i="6" s="1"/>
  <c r="Q24" i="6"/>
  <c r="V21" i="6"/>
  <c r="U22" i="6"/>
  <c r="T22" i="6"/>
  <c r="R25" i="6"/>
  <c r="F27" i="7" l="1"/>
  <c r="H27" i="7" s="1"/>
  <c r="J26" i="7"/>
  <c r="I26" i="7"/>
  <c r="C28" i="7"/>
  <c r="B28" i="7" s="1"/>
  <c r="T23" i="6"/>
  <c r="Q25" i="6"/>
  <c r="S24" i="6"/>
  <c r="V22" i="6"/>
  <c r="W22" i="6" s="1"/>
  <c r="R26" i="6"/>
  <c r="K26" i="7" l="1"/>
  <c r="J27" i="7"/>
  <c r="I27" i="7"/>
  <c r="K27" i="7" s="1"/>
  <c r="F28" i="7"/>
  <c r="H28" i="7" s="1"/>
  <c r="G28" i="7"/>
  <c r="Q26" i="6"/>
  <c r="S25" i="6"/>
  <c r="V23" i="6"/>
  <c r="W23" i="6" s="1"/>
  <c r="U24" i="6"/>
  <c r="T24" i="6"/>
  <c r="R27" i="6"/>
  <c r="I28" i="7" l="1"/>
  <c r="J28" i="7"/>
  <c r="R28" i="6"/>
  <c r="Q27" i="6"/>
  <c r="S27" i="6" s="1"/>
  <c r="S26" i="6"/>
  <c r="V24" i="6"/>
  <c r="T25" i="6"/>
  <c r="U25" i="6"/>
  <c r="K28" i="7" l="1"/>
  <c r="L28" i="7" s="1"/>
  <c r="R29" i="6"/>
  <c r="Q28" i="6"/>
  <c r="S28" i="6" s="1"/>
  <c r="V25" i="6"/>
  <c r="T26" i="6"/>
  <c r="U26" i="6"/>
  <c r="T28" i="6" l="1"/>
  <c r="U28" i="6"/>
  <c r="Q29" i="6"/>
  <c r="P29" i="6" s="1"/>
  <c r="S29" i="6" s="1"/>
  <c r="V26" i="6"/>
  <c r="U27" i="6"/>
  <c r="T27" i="6"/>
  <c r="T29" i="6" l="1"/>
  <c r="U29" i="6"/>
  <c r="V27" i="6"/>
  <c r="V28" i="6" s="1"/>
  <c r="V29" i="6" l="1"/>
  <c r="W29" i="6" s="1"/>
  <c r="I27" i="6"/>
  <c r="I26" i="6"/>
  <c r="I25" i="6"/>
  <c r="I24" i="6"/>
  <c r="I23" i="6"/>
  <c r="I21" i="6"/>
  <c r="I20" i="6"/>
  <c r="I19" i="6"/>
  <c r="I18" i="6"/>
  <c r="I17" i="6"/>
  <c r="I15" i="6"/>
  <c r="I14" i="6"/>
  <c r="I13" i="6"/>
  <c r="I12" i="6"/>
  <c r="I11" i="6"/>
  <c r="A11" i="6"/>
  <c r="A12" i="6" s="1"/>
  <c r="A13" i="6" s="1"/>
  <c r="A14" i="6" s="1"/>
  <c r="A15" i="6" s="1"/>
  <c r="A16" i="6" s="1"/>
  <c r="K16" i="6" l="1"/>
  <c r="A17" i="6" s="1"/>
  <c r="A18" i="6" s="1"/>
  <c r="A19" i="6" s="1"/>
  <c r="A20" i="6" s="1"/>
  <c r="A21" i="6" s="1"/>
  <c r="A22" i="6" s="1"/>
  <c r="K22" i="6" s="1"/>
  <c r="A23" i="6" s="1"/>
  <c r="A24" i="6" s="1"/>
  <c r="A25" i="6" s="1"/>
  <c r="A26" i="6" s="1"/>
  <c r="A27" i="6" s="1"/>
  <c r="A28" i="6" s="1"/>
  <c r="K28" i="6" l="1"/>
  <c r="D11" i="6" l="1"/>
  <c r="C11" i="6" s="1"/>
  <c r="B10" i="6"/>
  <c r="E11" i="6" l="1"/>
  <c r="E10" i="6"/>
  <c r="D12" i="6"/>
  <c r="C12" i="6" s="1"/>
  <c r="E12" i="6" l="1"/>
  <c r="F11" i="6"/>
  <c r="G11" i="6"/>
  <c r="D13" i="6"/>
  <c r="C13" i="6" s="1"/>
  <c r="F10" i="6"/>
  <c r="G10" i="6"/>
  <c r="E13" i="6" l="1"/>
  <c r="H10" i="6"/>
  <c r="I10" i="6" s="1"/>
  <c r="H11" i="6"/>
  <c r="D14" i="6"/>
  <c r="C14" i="6" s="1"/>
  <c r="E14" i="6" l="1"/>
  <c r="D15" i="6"/>
  <c r="C15" i="6" s="1"/>
  <c r="E15" i="6" s="1"/>
  <c r="F12" i="6"/>
  <c r="G12" i="6"/>
  <c r="H12" i="6" l="1"/>
  <c r="G13" i="6"/>
  <c r="F13" i="6"/>
  <c r="D16" i="6"/>
  <c r="C16" i="6" s="1"/>
  <c r="H13" i="6" l="1"/>
  <c r="G15" i="6"/>
  <c r="F15" i="6"/>
  <c r="G14" i="6"/>
  <c r="F14" i="6"/>
  <c r="D17" i="6"/>
  <c r="C17" i="6" s="1"/>
  <c r="B16" i="6"/>
  <c r="E17" i="6" l="1"/>
  <c r="E16" i="6"/>
  <c r="H14" i="6"/>
  <c r="H15" i="6" s="1"/>
  <c r="D18" i="6"/>
  <c r="C18" i="6" s="1"/>
  <c r="E18" i="6" l="1"/>
  <c r="F17" i="6"/>
  <c r="G17" i="6"/>
  <c r="G16" i="6"/>
  <c r="F16" i="6"/>
  <c r="D19" i="6"/>
  <c r="C19" i="6" s="1"/>
  <c r="E19" i="6" l="1"/>
  <c r="H17" i="6"/>
  <c r="G18" i="6"/>
  <c r="F18" i="6"/>
  <c r="D20" i="6"/>
  <c r="C20" i="6" s="1"/>
  <c r="H16" i="6"/>
  <c r="I16" i="6" s="1"/>
  <c r="H18" i="6" l="1"/>
  <c r="E20" i="6"/>
  <c r="G19" i="6"/>
  <c r="F19" i="6"/>
  <c r="H19" i="6" s="1"/>
  <c r="D21" i="6"/>
  <c r="C21" i="6" s="1"/>
  <c r="E21" i="6" s="1"/>
  <c r="D22" i="6" l="1"/>
  <c r="C22" i="6" s="1"/>
  <c r="G21" i="6" l="1"/>
  <c r="F21" i="6"/>
  <c r="D23" i="6"/>
  <c r="C23" i="6" s="1"/>
  <c r="B22" i="6"/>
  <c r="G20" i="6"/>
  <c r="F20" i="6"/>
  <c r="E22" i="6" l="1"/>
  <c r="E23" i="6"/>
  <c r="H20" i="6"/>
  <c r="H21" i="6" s="1"/>
  <c r="D24" i="6"/>
  <c r="C24" i="6" s="1"/>
  <c r="E24" i="6" l="1"/>
  <c r="F23" i="6"/>
  <c r="G23" i="6"/>
  <c r="D25" i="6"/>
  <c r="C25" i="6" s="1"/>
  <c r="G22" i="6"/>
  <c r="F22" i="6"/>
  <c r="E25" i="6" l="1"/>
  <c r="H22" i="6"/>
  <c r="I22" i="6" s="1"/>
  <c r="D26" i="6"/>
  <c r="C26" i="6" s="1"/>
  <c r="H23" i="6"/>
  <c r="E26" i="6" l="1"/>
  <c r="G24" i="6"/>
  <c r="F24" i="6"/>
  <c r="D27" i="6"/>
  <c r="C27" i="6" s="1"/>
  <c r="E27" i="6" s="1"/>
  <c r="H24" i="6" l="1"/>
  <c r="D28" i="6"/>
  <c r="C28" i="6" s="1"/>
  <c r="G25" i="6"/>
  <c r="F25" i="6"/>
  <c r="H25" i="6" l="1"/>
  <c r="G27" i="6"/>
  <c r="F27" i="6"/>
  <c r="B28" i="6"/>
  <c r="E28" i="6" s="1"/>
  <c r="G26" i="6"/>
  <c r="F26" i="6"/>
  <c r="H26" i="6" l="1"/>
  <c r="H27" i="6" s="1"/>
  <c r="G28" i="6" l="1"/>
  <c r="F28" i="6"/>
  <c r="H28" i="6" l="1"/>
  <c r="I28" i="6" s="1"/>
  <c r="S15" i="4" l="1"/>
  <c r="A21" i="4"/>
  <c r="A20" i="4"/>
  <c r="A19" i="4"/>
  <c r="M9" i="4"/>
  <c r="P9" i="4" s="1"/>
  <c r="L9" i="4"/>
  <c r="P19" i="4"/>
  <c r="P20" i="4"/>
  <c r="P21" i="4"/>
  <c r="P22" i="4"/>
  <c r="P23" i="4"/>
  <c r="O24" i="4"/>
  <c r="O25" i="4" s="1"/>
  <c r="O26" i="4" s="1"/>
  <c r="P24" i="4"/>
  <c r="P25" i="4"/>
  <c r="P26" i="4"/>
  <c r="N4" i="4"/>
  <c r="P18" i="4"/>
  <c r="P17" i="4"/>
  <c r="P16" i="4"/>
  <c r="P15" i="4"/>
  <c r="R14" i="4"/>
  <c r="P14" i="4"/>
  <c r="P13" i="4"/>
  <c r="P12" i="4"/>
  <c r="P11" i="4"/>
  <c r="P10" i="4"/>
  <c r="O10" i="4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G14" i="4"/>
  <c r="G15" i="4" s="1"/>
  <c r="E10" i="4"/>
  <c r="E11" i="4"/>
  <c r="E12" i="4"/>
  <c r="E13" i="4"/>
  <c r="E14" i="4"/>
  <c r="E15" i="4"/>
  <c r="E16" i="4"/>
  <c r="E17" i="4"/>
  <c r="E18" i="4"/>
  <c r="E19" i="4"/>
  <c r="E21" i="4"/>
  <c r="E22" i="4"/>
  <c r="E23" i="4"/>
  <c r="E24" i="4"/>
  <c r="E25" i="4"/>
  <c r="E26" i="4"/>
  <c r="D23" i="4"/>
  <c r="D24" i="4" s="1"/>
  <c r="D25" i="4" s="1"/>
  <c r="D26" i="4" s="1"/>
  <c r="B20" i="4"/>
  <c r="E20" i="4" s="1"/>
  <c r="D10" i="4"/>
  <c r="D11" i="4" s="1"/>
  <c r="D12" i="4" s="1"/>
  <c r="D13" i="4" s="1"/>
  <c r="D14" i="4" s="1"/>
  <c r="D15" i="4" s="1"/>
  <c r="D16" i="4" s="1"/>
  <c r="D17" i="4" s="1"/>
  <c r="D18" i="4" s="1"/>
  <c r="D19" i="4" s="1"/>
  <c r="B9" i="4"/>
  <c r="E9" i="4" s="1"/>
  <c r="A9" i="4"/>
  <c r="N26" i="1"/>
  <c r="N25" i="1"/>
  <c r="N24" i="1"/>
  <c r="N23" i="1"/>
  <c r="N22" i="1"/>
  <c r="N21" i="1"/>
  <c r="N20" i="1"/>
  <c r="N19" i="1"/>
  <c r="N18" i="1"/>
  <c r="N17" i="1"/>
  <c r="M4" i="1"/>
  <c r="N16" i="1"/>
  <c r="P15" i="1"/>
  <c r="P16" i="1" s="1"/>
  <c r="P17" i="1" s="1"/>
  <c r="P18" i="1" s="1"/>
  <c r="P19" i="1" s="1"/>
  <c r="P20" i="1" s="1"/>
  <c r="N15" i="1"/>
  <c r="N14" i="1"/>
  <c r="N13" i="1"/>
  <c r="N12" i="1"/>
  <c r="N11" i="1"/>
  <c r="D4" i="1"/>
  <c r="Q9" i="4" l="1"/>
  <c r="L10" i="4" s="1"/>
  <c r="R19" i="4"/>
  <c r="R20" i="4" s="1"/>
  <c r="R22" i="4" s="1"/>
  <c r="R23" i="4" s="1"/>
  <c r="R24" i="4" s="1"/>
  <c r="R25" i="4" s="1"/>
  <c r="R26" i="4" s="1"/>
  <c r="G16" i="4"/>
  <c r="G17" i="4" s="1"/>
  <c r="G18" i="4" s="1"/>
  <c r="G19" i="4" s="1"/>
  <c r="G21" i="4" s="1"/>
  <c r="G22" i="4" s="1"/>
  <c r="G23" i="4" s="1"/>
  <c r="G24" i="4" s="1"/>
  <c r="G25" i="4" s="1"/>
  <c r="G26" i="4" s="1"/>
  <c r="F9" i="4"/>
  <c r="A10" i="4" s="1"/>
  <c r="F10" i="4" s="1"/>
  <c r="A11" i="4" s="1"/>
  <c r="P25" i="1"/>
  <c r="P26" i="1" s="1"/>
  <c r="L9" i="1"/>
  <c r="N10" i="1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Q10" i="4" l="1"/>
  <c r="L11" i="4" s="1"/>
  <c r="F11" i="4"/>
  <c r="A12" i="4" s="1"/>
  <c r="F15" i="1"/>
  <c r="F16" i="1" s="1"/>
  <c r="F17" i="1" s="1"/>
  <c r="F18" i="1" s="1"/>
  <c r="F19" i="1" s="1"/>
  <c r="B9" i="1"/>
  <c r="D10" i="1" s="1"/>
  <c r="Q11" i="4" l="1"/>
  <c r="L12" i="4" s="1"/>
  <c r="F12" i="4"/>
  <c r="A13" i="4" s="1"/>
  <c r="F20" i="1"/>
  <c r="Q12" i="4" l="1"/>
  <c r="L13" i="4" s="1"/>
  <c r="H13" i="4"/>
  <c r="A14" i="4" s="1"/>
  <c r="F13" i="4"/>
  <c r="F21" i="1"/>
  <c r="S13" i="4" l="1"/>
  <c r="L14" i="4" s="1"/>
  <c r="Q14" i="4" s="1"/>
  <c r="Q13" i="4"/>
  <c r="H14" i="4"/>
  <c r="A15" i="4" s="1"/>
  <c r="F14" i="4"/>
  <c r="A10" i="1"/>
  <c r="K10" i="1"/>
  <c r="O10" i="1" s="1"/>
  <c r="F22" i="1"/>
  <c r="E10" i="1" l="1"/>
  <c r="S14" i="4"/>
  <c r="L15" i="4" s="1"/>
  <c r="Q15" i="4" s="1"/>
  <c r="H15" i="4"/>
  <c r="F15" i="4"/>
  <c r="K11" i="1"/>
  <c r="O11" i="1" s="1"/>
  <c r="F23" i="1"/>
  <c r="L16" i="4" l="1"/>
  <c r="Q16" i="4" s="1"/>
  <c r="L17" i="4" s="1"/>
  <c r="A11" i="1"/>
  <c r="A16" i="4"/>
  <c r="K12" i="1"/>
  <c r="O12" i="1" s="1"/>
  <c r="F24" i="1"/>
  <c r="E11" i="1" l="1"/>
  <c r="A12" i="1" s="1"/>
  <c r="E12" i="1" s="1"/>
  <c r="A13" i="1" s="1"/>
  <c r="Q17" i="4"/>
  <c r="L18" i="4" s="1"/>
  <c r="Q18" i="4" s="1"/>
  <c r="H16" i="4"/>
  <c r="A17" i="4" s="1"/>
  <c r="F16" i="4"/>
  <c r="K13" i="1"/>
  <c r="O13" i="1" s="1"/>
  <c r="F25" i="1"/>
  <c r="K14" i="1" l="1"/>
  <c r="O14" i="1" s="1"/>
  <c r="E13" i="1"/>
  <c r="F17" i="4"/>
  <c r="H17" i="4"/>
  <c r="A18" i="4" s="1"/>
  <c r="F26" i="1"/>
  <c r="Q14" i="1" l="1"/>
  <c r="K15" i="1" s="1"/>
  <c r="O15" i="1" s="1"/>
  <c r="A14" i="1"/>
  <c r="G14" i="1" s="1"/>
  <c r="S18" i="4"/>
  <c r="L19" i="4" s="1"/>
  <c r="H18" i="4"/>
  <c r="F18" i="4"/>
  <c r="Q15" i="1" l="1"/>
  <c r="K16" i="1" s="1"/>
  <c r="O16" i="1" s="1"/>
  <c r="E14" i="1"/>
  <c r="A15" i="1"/>
  <c r="Q19" i="4"/>
  <c r="S19" i="4"/>
  <c r="L20" i="4" s="1"/>
  <c r="F19" i="4"/>
  <c r="H19" i="4"/>
  <c r="E15" i="1" l="1"/>
  <c r="G15" i="1"/>
  <c r="Q16" i="1"/>
  <c r="K17" i="1" s="1"/>
  <c r="O17" i="1" s="1"/>
  <c r="Q20" i="4"/>
  <c r="S20" i="4"/>
  <c r="L21" i="4" s="1"/>
  <c r="L22" i="4" s="1"/>
  <c r="F20" i="4"/>
  <c r="Q17" i="1" l="1"/>
  <c r="K18" i="1" s="1"/>
  <c r="O18" i="1" s="1"/>
  <c r="A16" i="1"/>
  <c r="E16" i="1" s="1"/>
  <c r="Q21" i="4"/>
  <c r="H21" i="4"/>
  <c r="F21" i="4"/>
  <c r="Q18" i="1" l="1"/>
  <c r="K19" i="1" s="1"/>
  <c r="O19" i="1" s="1"/>
  <c r="G16" i="1"/>
  <c r="A17" i="1" s="1"/>
  <c r="Q22" i="4"/>
  <c r="S22" i="4"/>
  <c r="L23" i="4" s="1"/>
  <c r="A22" i="4"/>
  <c r="H22" i="4" s="1"/>
  <c r="A23" i="4" s="1"/>
  <c r="G17" i="1" l="1"/>
  <c r="A18" i="1" s="1"/>
  <c r="Q19" i="1"/>
  <c r="K20" i="1" s="1"/>
  <c r="O20" i="1" s="1"/>
  <c r="E17" i="1"/>
  <c r="Q23" i="4"/>
  <c r="S23" i="4"/>
  <c r="L24" i="4" s="1"/>
  <c r="F22" i="4"/>
  <c r="H23" i="4"/>
  <c r="A24" i="4" s="1"/>
  <c r="F24" i="4" s="1"/>
  <c r="F23" i="4"/>
  <c r="G18" i="1" l="1"/>
  <c r="A19" i="1" s="1"/>
  <c r="E18" i="1"/>
  <c r="Q20" i="1"/>
  <c r="K21" i="1" s="1"/>
  <c r="Q21" i="1"/>
  <c r="Q24" i="4"/>
  <c r="S24" i="4"/>
  <c r="L25" i="4" s="1"/>
  <c r="H24" i="4"/>
  <c r="A25" i="4" s="1"/>
  <c r="H25" i="4" s="1"/>
  <c r="A26" i="4" s="1"/>
  <c r="K22" i="1" l="1"/>
  <c r="O21" i="1"/>
  <c r="G19" i="1"/>
  <c r="A20" i="1" s="1"/>
  <c r="E19" i="1"/>
  <c r="S25" i="4"/>
  <c r="L26" i="4" s="1"/>
  <c r="Q25" i="4"/>
  <c r="F25" i="4"/>
  <c r="F26" i="4"/>
  <c r="H26" i="4"/>
  <c r="K23" i="1" l="1"/>
  <c r="E20" i="1"/>
  <c r="G20" i="1"/>
  <c r="A21" i="1" s="1"/>
  <c r="Q26" i="4"/>
  <c r="S26" i="4"/>
  <c r="O23" i="1" l="1"/>
  <c r="K24" i="1" s="1"/>
  <c r="G21" i="1"/>
  <c r="A22" i="1" s="1"/>
  <c r="E21" i="1"/>
  <c r="O24" i="1" l="1"/>
  <c r="Q24" i="1"/>
  <c r="K25" i="1" s="1"/>
  <c r="O25" i="1" s="1"/>
  <c r="G22" i="1"/>
  <c r="A23" i="1" s="1"/>
  <c r="E22" i="1"/>
  <c r="Q25" i="1" l="1"/>
  <c r="K26" i="1" s="1"/>
  <c r="O26" i="1" s="1"/>
  <c r="G23" i="1"/>
  <c r="A24" i="1" s="1"/>
  <c r="E23" i="1"/>
  <c r="Q26" i="1" l="1"/>
  <c r="G24" i="1"/>
  <c r="A25" i="1" s="1"/>
  <c r="E24" i="1"/>
  <c r="E25" i="1" l="1"/>
  <c r="G25" i="1"/>
  <c r="A26" i="1" s="1"/>
  <c r="E26" i="1" l="1"/>
  <c r="G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Iuri Izawa</author>
  </authors>
  <commentList>
    <comment ref="Q21" authorId="0" shapeId="0" xr:uid="{B7F48F80-EC89-4031-8A80-8DFE1603E507}">
      <text>
        <r>
          <rPr>
            <b/>
            <sz val="9"/>
            <color indexed="81"/>
            <rFont val="Segoe UI"/>
            <charset val="1"/>
          </rPr>
          <t>Devolução de quatro parcelas pelo valor original/histórico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O22" authorId="0" shapeId="0" xr:uid="{EF19AC1F-8956-48ED-BBDC-FACF5F9FA762}">
      <text>
        <r>
          <rPr>
            <b/>
            <sz val="9"/>
            <color indexed="81"/>
            <rFont val="Segoe UI"/>
            <charset val="1"/>
          </rPr>
          <t>Capitalização dos juros</t>
        </r>
      </text>
    </comment>
    <comment ref="O23" authorId="0" shapeId="0" xr:uid="{87E9B6DC-AC41-4090-835D-E35B51150242}">
      <text>
        <r>
          <rPr>
            <b/>
            <sz val="9"/>
            <color indexed="81"/>
            <rFont val="Segoe UI"/>
            <charset val="1"/>
          </rPr>
          <t>Capitalização dos juros.</t>
        </r>
      </text>
    </comment>
    <comment ref="P24" authorId="0" shapeId="0" xr:uid="{3AA1F3AE-93D8-42A7-8550-6F30B0FD7401}">
      <text>
        <r>
          <rPr>
            <b/>
            <sz val="9"/>
            <color indexed="81"/>
            <rFont val="Segoe UI"/>
            <charset val="1"/>
          </rPr>
          <t>Alongamento de 12 meses.
Passou de 15 para 27.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Iuri Izawa</author>
  </authors>
  <commentList>
    <comment ref="S15" authorId="0" shapeId="0" xr:uid="{9D607452-7110-4CBF-AB6E-FC0FA48BEEA7}">
      <text>
        <r>
          <rPr>
            <b/>
            <sz val="9"/>
            <color indexed="81"/>
            <rFont val="Segoe UI"/>
            <charset val="1"/>
          </rPr>
          <t>Devolução de duas parcelas pelo valor original/histórico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Q16" authorId="0" shapeId="0" xr:uid="{124F4A26-BB8B-4BD0-910D-19E11FF7222B}">
      <text>
        <r>
          <rPr>
            <b/>
            <sz val="9"/>
            <color indexed="81"/>
            <rFont val="Segoe UI"/>
            <charset val="1"/>
          </rPr>
          <t>Capitalização dos juros</t>
        </r>
      </text>
    </comment>
    <comment ref="Q17" authorId="0" shapeId="0" xr:uid="{2D5BB3A9-C2BE-4680-8046-BE40F79D4BA5}">
      <text>
        <r>
          <rPr>
            <b/>
            <sz val="9"/>
            <color indexed="81"/>
            <rFont val="Segoe UI"/>
            <charset val="1"/>
          </rPr>
          <t>Capitalização dos juros.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Iuri Izawa</author>
  </authors>
  <commentList>
    <comment ref="Y17" authorId="0" shapeId="0" xr:uid="{0C6D1F1B-3179-4313-AE29-CC46D09315BC}">
      <text>
        <r>
          <rPr>
            <b/>
            <sz val="9"/>
            <color indexed="81"/>
            <rFont val="Segoe UI"/>
            <charset val="1"/>
          </rPr>
          <t>Devolução da parcela pelo valor original/histórico.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Iuri Izawa</author>
  </authors>
  <commentList>
    <comment ref="AE18" authorId="0" shapeId="0" xr:uid="{26DFF6F5-E7C5-415B-AE0F-84D4D920A7DC}">
      <text>
        <r>
          <rPr>
            <b/>
            <sz val="9"/>
            <color indexed="81"/>
            <rFont val="Segoe UI"/>
            <charset val="1"/>
          </rPr>
          <t>Devolução da parcela pelo valor original/histórico.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<sst xmlns="http://schemas.openxmlformats.org/spreadsheetml/2006/main" count="183" uniqueCount="59">
  <si>
    <t>Valores em SELIC ACUM (UM143)</t>
  </si>
  <si>
    <t>Principal</t>
  </si>
  <si>
    <t>Data de Vencimento</t>
  </si>
  <si>
    <t xml:space="preserve">Taxa </t>
  </si>
  <si>
    <t>Dias Úteis</t>
  </si>
  <si>
    <t>Valor</t>
  </si>
  <si>
    <t>Valor liberado em R$</t>
  </si>
  <si>
    <t>Cotação da UM143</t>
  </si>
  <si>
    <t>Juros Capitalizados/Compensatórios</t>
  </si>
  <si>
    <t>Amortização</t>
  </si>
  <si>
    <t>FERIADOS</t>
  </si>
  <si>
    <t>CONTINUA ......</t>
  </si>
  <si>
    <t xml:space="preserve">CONTRATO: </t>
  </si>
  <si>
    <t>XPTO</t>
  </si>
  <si>
    <t>Data da liberação</t>
  </si>
  <si>
    <t>Valor liberado em 
SELIC ACUM</t>
  </si>
  <si>
    <t>Parc Rest</t>
  </si>
  <si>
    <t>FLUXO ORIGINAL</t>
  </si>
  <si>
    <t>APÓS O PROCESSAMENTO DO REFIN</t>
  </si>
  <si>
    <t>Devolução (meses)</t>
  </si>
  <si>
    <t>Suspensão (meses)</t>
  </si>
  <si>
    <t>Alongamento (meses)</t>
  </si>
  <si>
    <t>Total Renegociado (meses)</t>
  </si>
  <si>
    <t>Amortização/Devolução</t>
  </si>
  <si>
    <t>DEV</t>
  </si>
  <si>
    <t xml:space="preserve">CONTRATO:                 </t>
  </si>
  <si>
    <t>Valores em Reais</t>
  </si>
  <si>
    <t>Saldo de Principal</t>
  </si>
  <si>
    <t>Data Início Cálculo</t>
  </si>
  <si>
    <t>Data Final Cálculo</t>
  </si>
  <si>
    <t>Taxa</t>
  </si>
  <si>
    <t>Dias</t>
  </si>
  <si>
    <t xml:space="preserve">Valor </t>
  </si>
  <si>
    <t xml:space="preserve">Solicitação do refinanciamento em 20/12/2023
Devolução efetuada em 29/12/2023 </t>
  </si>
  <si>
    <t xml:space="preserve">Solicitação do refinanciamento em 20/07/2023
Devolução efetuada em 31/07/2023 </t>
  </si>
  <si>
    <t>Dt da liberação</t>
  </si>
  <si>
    <t>Data de "quebra"</t>
  </si>
  <si>
    <t>Data ref.                           M-1</t>
  </si>
  <si>
    <t>dup</t>
  </si>
  <si>
    <t>dut</t>
  </si>
  <si>
    <t>Amortização UM</t>
  </si>
  <si>
    <t>Fator Spread BNDES</t>
  </si>
  <si>
    <t>Fator Juros</t>
  </si>
  <si>
    <t>Cotação da UM185</t>
  </si>
  <si>
    <t>Valor liberado
em UM185</t>
  </si>
  <si>
    <t>Valores em IPCA TLP (UM185)</t>
  </si>
  <si>
    <t>Juros Prefixados                              (% a.a.)</t>
  </si>
  <si>
    <t>Spread BNDES                                               (% a.a.)</t>
  </si>
  <si>
    <t>Fator Juros Prefixados</t>
  </si>
  <si>
    <t xml:space="preserve">Solicitação do refinanciamento em 23/02/2023
Devolução efetuada em 28/02/2023 </t>
  </si>
  <si>
    <t>Fator IPCA</t>
  </si>
  <si>
    <t>Valores em R$ TLP (UM777)</t>
  </si>
  <si>
    <t>TXD00236 - IPCA</t>
  </si>
  <si>
    <t>DATA</t>
  </si>
  <si>
    <t>VALOR</t>
  </si>
  <si>
    <t>-&gt; se o IPCA ainda não estiver disponível para a data seguinte, o sistema utilizará no cálculo a última cotação alimentada na série txd00236.</t>
  </si>
  <si>
    <t>%</t>
  </si>
  <si>
    <t>IPCA (TXD00236)</t>
  </si>
  <si>
    <t xml:space="preserve">Solicitação do refinanciamento em 21/03/2023
Devolução efetuada em 31/03/2023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</si>
</sst>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dd/mm/yy"/>
    <numFmt numFmtId="165" formatCode="#,##0.0000"/>
    <numFmt numFmtId="166" formatCode="#,##0.000000_);\(#,##0.000000\)"/>
    <numFmt numFmtId="167" formatCode="_-* #,##0.0000_-;\-* #,##0.0000_-;_-* &quot;-&quot;??_-;_-@_-"/>
    <numFmt numFmtId="168" formatCode="_([$€]* #,##0.00_);_([$€]* \(#,##0.00\);_([$€]* &quot;-&quot;??_);_(@_)"/>
    <numFmt numFmtId="169" formatCode="0.00000"/>
    <numFmt numFmtId="170" formatCode="#,##0.00000"/>
    <numFmt numFmtId="171" formatCode="_-* #,##0.00000_-;\-* #,##0.00000_-;_-* &quot;-&quot;??_-;_-@_-"/>
    <numFmt numFmtId="172" formatCode="0.00000000"/>
    <numFmt numFmtId="173" formatCode="#,##0.00_ ;\-#,##0.00\ 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color theme="0"/>
      <name val="Arial"/>
      <family val="2"/>
    </font>
    <font>
      <sz val="11"/>
      <color theme="0" tint="-0.499984740745262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name val="Arial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9">
    <xf numFmtId="0" fontId="0" fillId="0" borderId="0" xfId="0"/>
    <xf numFmtId="0" fontId="2" fillId="2" borderId="3" xfId="0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4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39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6" fontId="5" fillId="0" borderId="0" xfId="0" applyNumberFormat="1" applyFont="1"/>
    <xf numFmtId="0" fontId="6" fillId="0" borderId="0" xfId="0" applyFont="1" applyAlignment="1">
      <alignment horizontal="left"/>
    </xf>
    <xf numFmtId="165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39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5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67" fontId="5" fillId="0" borderId="1" xfId="1" applyNumberFormat="1" applyFont="1" applyBorder="1"/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4" borderId="0" xfId="0" applyFont="1" applyFill="1"/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/>
    <xf numFmtId="165" fontId="5" fillId="5" borderId="1" xfId="0" applyNumberFormat="1" applyFont="1" applyFill="1" applyBorder="1" applyAlignment="1">
      <alignment horizontal="center"/>
    </xf>
    <xf numFmtId="43" fontId="8" fillId="0" borderId="1" xfId="1" applyFont="1" applyBorder="1"/>
    <xf numFmtId="43" fontId="5" fillId="0" borderId="4" xfId="1" applyFont="1" applyBorder="1"/>
    <xf numFmtId="43" fontId="5" fillId="0" borderId="1" xfId="1" applyFont="1" applyBorder="1"/>
    <xf numFmtId="0" fontId="6" fillId="0" borderId="0" xfId="0" applyFont="1"/>
    <xf numFmtId="4" fontId="5" fillId="0" borderId="4" xfId="0" applyNumberFormat="1" applyFont="1" applyBorder="1"/>
    <xf numFmtId="4" fontId="5" fillId="0" borderId="1" xfId="0" applyNumberFormat="1" applyFont="1" applyBorder="1"/>
    <xf numFmtId="4" fontId="8" fillId="0" borderId="1" xfId="0" applyNumberFormat="1" applyFont="1" applyBorder="1"/>
    <xf numFmtId="1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4" fontId="5" fillId="6" borderId="1" xfId="0" applyNumberFormat="1" applyFont="1" applyFill="1" applyBorder="1"/>
    <xf numFmtId="43" fontId="5" fillId="6" borderId="1" xfId="1" applyFont="1" applyFill="1" applyBorder="1"/>
    <xf numFmtId="164" fontId="7" fillId="4" borderId="17" xfId="0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/>
    <xf numFmtId="167" fontId="5" fillId="0" borderId="4" xfId="1" applyNumberFormat="1" applyFont="1" applyFill="1" applyBorder="1"/>
    <xf numFmtId="167" fontId="8" fillId="0" borderId="4" xfId="1" applyNumberFormat="1" applyFont="1" applyFill="1" applyBorder="1"/>
    <xf numFmtId="0" fontId="2" fillId="0" borderId="0" xfId="0" applyFont="1"/>
    <xf numFmtId="169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167" fontId="5" fillId="0" borderId="0" xfId="1" applyNumberFormat="1" applyFont="1" applyBorder="1" applyAlignment="1"/>
    <xf numFmtId="0" fontId="2" fillId="0" borderId="18" xfId="0" applyFont="1" applyBorder="1"/>
    <xf numFmtId="4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3" fontId="5" fillId="0" borderId="6" xfId="1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171" fontId="5" fillId="0" borderId="1" xfId="1" applyNumberFormat="1" applyFont="1" applyBorder="1"/>
    <xf numFmtId="164" fontId="7" fillId="4" borderId="18" xfId="0" applyNumberFormat="1" applyFont="1" applyFill="1" applyBorder="1" applyAlignment="1">
      <alignment horizontal="center" vertical="center" wrapText="1"/>
    </xf>
    <xf numFmtId="170" fontId="5" fillId="0" borderId="4" xfId="0" applyNumberFormat="1" applyFont="1" applyBorder="1" applyAlignment="1">
      <alignment horizontal="center"/>
    </xf>
    <xf numFmtId="172" fontId="5" fillId="0" borderId="4" xfId="0" applyNumberFormat="1" applyFont="1" applyBorder="1" applyAlignment="1">
      <alignment horizontal="center"/>
    </xf>
    <xf numFmtId="171" fontId="5" fillId="0" borderId="4" xfId="1" applyNumberFormat="1" applyFont="1" applyBorder="1"/>
    <xf numFmtId="0" fontId="6" fillId="0" borderId="18" xfId="0" applyFont="1" applyBorder="1" applyAlignment="1">
      <alignment horizontal="left"/>
    </xf>
    <xf numFmtId="0" fontId="12" fillId="0" borderId="18" xfId="0" applyFont="1" applyBorder="1"/>
    <xf numFmtId="0" fontId="13" fillId="0" borderId="18" xfId="0" applyFont="1" applyBorder="1" applyAlignment="1">
      <alignment horizontal="center"/>
    </xf>
    <xf numFmtId="0" fontId="5" fillId="0" borderId="18" xfId="0" applyFont="1" applyBorder="1"/>
    <xf numFmtId="164" fontId="7" fillId="4" borderId="14" xfId="0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/>
    <xf numFmtId="0" fontId="1" fillId="0" borderId="0" xfId="0" applyFont="1"/>
    <xf numFmtId="171" fontId="5" fillId="6" borderId="1" xfId="1" applyNumberFormat="1" applyFont="1" applyFill="1" applyBorder="1"/>
    <xf numFmtId="170" fontId="5" fillId="6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2" fontId="0" fillId="0" borderId="0" xfId="0" applyNumberFormat="1" applyAlignment="1">
      <alignment horizontal="center"/>
    </xf>
    <xf numFmtId="0" fontId="14" fillId="7" borderId="0" xfId="0" quotePrefix="1" applyFont="1" applyFill="1"/>
    <xf numFmtId="2" fontId="0" fillId="8" borderId="0" xfId="0" applyNumberFormat="1" applyFill="1" applyAlignment="1">
      <alignment horizontal="center"/>
    </xf>
    <xf numFmtId="43" fontId="5" fillId="0" borderId="1" xfId="1" applyFont="1" applyBorder="1" applyAlignment="1">
      <alignment horizontal="center"/>
    </xf>
    <xf numFmtId="43" fontId="0" fillId="0" borderId="0" xfId="1" applyFont="1"/>
    <xf numFmtId="43" fontId="5" fillId="6" borderId="1" xfId="1" applyFont="1" applyFill="1" applyBorder="1" applyAlignment="1">
      <alignment horizontal="center"/>
    </xf>
    <xf numFmtId="4" fontId="7" fillId="4" borderId="9" xfId="0" applyNumberFormat="1" applyFont="1" applyFill="1" applyBorder="1" applyAlignment="1">
      <alignment horizontal="center" vertical="center"/>
    </xf>
    <xf numFmtId="4" fontId="7" fillId="4" borderId="10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/>
    </xf>
    <xf numFmtId="164" fontId="7" fillId="4" borderId="7" xfId="0" applyNumberFormat="1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167" fontId="5" fillId="0" borderId="6" xfId="1" applyNumberFormat="1" applyFont="1" applyBorder="1" applyAlignment="1">
      <alignment horizontal="center"/>
    </xf>
    <xf numFmtId="4" fontId="7" fillId="3" borderId="9" xfId="0" applyNumberFormat="1" applyFont="1" applyFill="1" applyBorder="1" applyAlignment="1">
      <alignment horizontal="center" vertical="center"/>
    </xf>
    <xf numFmtId="4" fontId="7" fillId="3" borderId="10" xfId="0" applyNumberFormat="1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164" fontId="7" fillId="4" borderId="16" xfId="0" applyNumberFormat="1" applyFont="1" applyFill="1" applyBorder="1" applyAlignment="1">
      <alignment horizontal="center" vertical="center" wrapText="1"/>
    </xf>
    <xf numFmtId="164" fontId="7" fillId="4" borderId="17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/>
    </xf>
    <xf numFmtId="165" fontId="7" fillId="4" borderId="10" xfId="0" applyNumberFormat="1" applyFont="1" applyFill="1" applyBorder="1" applyAlignment="1">
      <alignment horizontal="center"/>
    </xf>
    <xf numFmtId="164" fontId="7" fillId="3" borderId="16" xfId="0" applyNumberFormat="1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/>
    </xf>
    <xf numFmtId="165" fontId="7" fillId="3" borderId="10" xfId="0" applyNumberFormat="1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4" borderId="10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3" fontId="5" fillId="0" borderId="6" xfId="1" applyFont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4">
    <cellStyle name="Euro" xfId="2" xr:uid="{CAB2AAA9-7041-40EB-AE14-325178C42602}"/>
    <cellStyle name="Normal" xfId="0" builtinId="0"/>
    <cellStyle name="Vírgula" xfId="1" builtinId="3"/>
    <cellStyle name="Vírgula 2" xfId="3" xr:uid="{23E1436B-8E3D-4E21-8C77-FBEE95B2C8F5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showGridLines="0" tabSelected="1" zoomScale="97" zoomScaleNormal="97" workbookViewId="0">
      <selection activeCell="G5" sqref="G5"/>
    </sheetView>
  </sheetViews>
  <sheetFormatPr defaultColWidth="9.140625" defaultRowHeight="14.25" x14ac:dyDescent="0.2"/>
  <cols>
    <col min="1" max="2" width="14.5703125" style="5" customWidth="1"/>
    <col min="3" max="3" width="9.7109375" style="5" customWidth="1"/>
    <col min="4" max="4" width="8.85546875" style="5" customWidth="1"/>
    <col min="5" max="5" width="19.7109375" style="5" customWidth="1"/>
    <col min="6" max="6" width="6.85546875" style="5" customWidth="1"/>
    <col min="7" max="7" width="13.28515625" style="5" customWidth="1"/>
    <col min="8" max="8" width="1.7109375" style="5" customWidth="1"/>
    <col min="9" max="9" width="0.140625" style="5" customWidth="1"/>
    <col min="10" max="10" width="1.7109375" style="5" customWidth="1"/>
    <col min="11" max="11" width="14.5703125" style="5" bestFit="1" customWidth="1"/>
    <col min="12" max="12" width="14.5703125" style="5" customWidth="1"/>
    <col min="13" max="13" width="11.28515625" style="5" customWidth="1"/>
    <col min="14" max="14" width="8.85546875" style="5" customWidth="1"/>
    <col min="15" max="15" width="18" style="5" customWidth="1"/>
    <col min="16" max="16" width="8.140625" style="5" customWidth="1"/>
    <col min="17" max="17" width="16.28515625" style="5" customWidth="1"/>
    <col min="18" max="18" width="16.85546875" style="5" customWidth="1"/>
    <col min="19" max="16384" width="9.140625" style="5"/>
  </cols>
  <sheetData>
    <row r="1" spans="1:19" ht="15" x14ac:dyDescent="0.25">
      <c r="A1" s="4" t="s">
        <v>12</v>
      </c>
      <c r="B1" s="4" t="s">
        <v>13</v>
      </c>
      <c r="C1" s="4" t="s">
        <v>17</v>
      </c>
      <c r="I1" s="36"/>
      <c r="K1" s="4" t="s">
        <v>12</v>
      </c>
      <c r="L1" s="4" t="s">
        <v>13</v>
      </c>
      <c r="M1" s="4" t="s">
        <v>18</v>
      </c>
    </row>
    <row r="2" spans="1:19" ht="15.75" thickBot="1" x14ac:dyDescent="0.3">
      <c r="A2" s="6"/>
      <c r="I2" s="36"/>
      <c r="K2" s="6"/>
    </row>
    <row r="3" spans="1:19" ht="49.9" customHeight="1" thickBot="1" x14ac:dyDescent="0.25">
      <c r="A3" s="32" t="s">
        <v>6</v>
      </c>
      <c r="B3" s="32" t="s">
        <v>14</v>
      </c>
      <c r="C3" s="32" t="s">
        <v>7</v>
      </c>
      <c r="D3" s="110" t="s">
        <v>15</v>
      </c>
      <c r="E3" s="110"/>
      <c r="I3" s="36"/>
      <c r="K3" s="37" t="s">
        <v>19</v>
      </c>
      <c r="L3" s="37" t="s">
        <v>20</v>
      </c>
      <c r="M3" s="100" t="s">
        <v>22</v>
      </c>
      <c r="N3" s="100"/>
      <c r="O3" s="37" t="s">
        <v>21</v>
      </c>
      <c r="P3" s="109" t="s">
        <v>33</v>
      </c>
      <c r="Q3" s="109"/>
      <c r="R3" s="109"/>
      <c r="S3" s="109"/>
    </row>
    <row r="4" spans="1:19" ht="15" thickBot="1" x14ac:dyDescent="0.25">
      <c r="A4" s="66">
        <v>268633.2</v>
      </c>
      <c r="B4" s="68">
        <v>43480</v>
      </c>
      <c r="C4" s="69">
        <v>2.6863320000000002</v>
      </c>
      <c r="D4" s="111">
        <f>+A4/C4</f>
        <v>100000</v>
      </c>
      <c r="E4" s="111"/>
      <c r="I4" s="36"/>
      <c r="K4" s="67">
        <v>4</v>
      </c>
      <c r="L4" s="67">
        <v>2</v>
      </c>
      <c r="M4" s="101">
        <f>K4+L4</f>
        <v>6</v>
      </c>
      <c r="N4" s="101"/>
      <c r="O4" s="67">
        <v>12</v>
      </c>
    </row>
    <row r="5" spans="1:19" x14ac:dyDescent="0.2">
      <c r="A5" s="8"/>
      <c r="B5" s="9"/>
      <c r="C5" s="10"/>
      <c r="D5" s="11"/>
      <c r="E5" s="11"/>
      <c r="I5" s="36"/>
      <c r="K5" s="8"/>
      <c r="L5" s="9"/>
      <c r="M5" s="10"/>
      <c r="N5" s="11"/>
      <c r="O5" s="11"/>
    </row>
    <row r="6" spans="1:19" ht="15" thickBot="1" x14ac:dyDescent="0.25">
      <c r="A6" s="18" t="s">
        <v>0</v>
      </c>
      <c r="B6" s="12"/>
      <c r="D6" s="13"/>
      <c r="I6" s="36"/>
      <c r="K6" s="18" t="s">
        <v>0</v>
      </c>
      <c r="L6" s="12"/>
      <c r="N6" s="13"/>
    </row>
    <row r="7" spans="1:19" ht="20.45" customHeight="1" x14ac:dyDescent="0.2">
      <c r="A7" s="114" t="s">
        <v>1</v>
      </c>
      <c r="B7" s="116" t="s">
        <v>2</v>
      </c>
      <c r="C7" s="118" t="s">
        <v>8</v>
      </c>
      <c r="D7" s="119"/>
      <c r="E7" s="119"/>
      <c r="F7" s="112" t="s">
        <v>9</v>
      </c>
      <c r="G7" s="113"/>
      <c r="I7" s="36"/>
      <c r="K7" s="102" t="s">
        <v>1</v>
      </c>
      <c r="L7" s="104" t="s">
        <v>2</v>
      </c>
      <c r="M7" s="106" t="s">
        <v>8</v>
      </c>
      <c r="N7" s="107"/>
      <c r="O7" s="108"/>
      <c r="P7" s="98" t="s">
        <v>23</v>
      </c>
      <c r="Q7" s="99"/>
    </row>
    <row r="8" spans="1:19" ht="30.75" thickBot="1" x14ac:dyDescent="0.25">
      <c r="A8" s="115"/>
      <c r="B8" s="117"/>
      <c r="C8" s="33" t="s">
        <v>3</v>
      </c>
      <c r="D8" s="33" t="s">
        <v>4</v>
      </c>
      <c r="E8" s="33" t="s">
        <v>5</v>
      </c>
      <c r="F8" s="34" t="s">
        <v>16</v>
      </c>
      <c r="G8" s="35" t="s">
        <v>5</v>
      </c>
      <c r="I8" s="36"/>
      <c r="K8" s="103"/>
      <c r="L8" s="105"/>
      <c r="M8" s="38" t="s">
        <v>3</v>
      </c>
      <c r="N8" s="38" t="s">
        <v>4</v>
      </c>
      <c r="O8" s="38" t="s">
        <v>5</v>
      </c>
      <c r="P8" s="39" t="s">
        <v>16</v>
      </c>
      <c r="Q8" s="40" t="s">
        <v>5</v>
      </c>
    </row>
    <row r="9" spans="1:19" ht="15" x14ac:dyDescent="0.2">
      <c r="A9" s="30"/>
      <c r="B9" s="20">
        <f>+B4</f>
        <v>43480</v>
      </c>
      <c r="C9" s="31"/>
      <c r="D9" s="24"/>
      <c r="E9" s="31"/>
      <c r="F9" s="23"/>
      <c r="G9" s="24"/>
      <c r="I9" s="36"/>
      <c r="K9" s="30"/>
      <c r="L9" s="20">
        <f>+B4</f>
        <v>43480</v>
      </c>
      <c r="M9" s="31"/>
      <c r="N9" s="24"/>
      <c r="O9" s="31"/>
      <c r="P9" s="23"/>
      <c r="Q9" s="24"/>
    </row>
    <row r="10" spans="1:19" x14ac:dyDescent="0.2">
      <c r="A10" s="19">
        <f>+D4</f>
        <v>100000</v>
      </c>
      <c r="B10" s="20">
        <v>43510</v>
      </c>
      <c r="C10" s="21">
        <v>1.25</v>
      </c>
      <c r="D10" s="22">
        <f>NETWORKDAYS(B9,B10,Feriados!$B$3:$B$626)-1</f>
        <v>22</v>
      </c>
      <c r="E10" s="55">
        <f>ROUND(A10*ROUND((1+(C10/100))^(D10/252)-1,6),4)</f>
        <v>108.5</v>
      </c>
      <c r="F10" s="23"/>
      <c r="G10" s="24"/>
      <c r="I10" s="36"/>
      <c r="K10" s="19">
        <f>+D4</f>
        <v>100000</v>
      </c>
      <c r="L10" s="20">
        <v>43510</v>
      </c>
      <c r="M10" s="21">
        <v>1.25</v>
      </c>
      <c r="N10" s="22">
        <f>NETWORKDAYS(L9,L10,Feriados!$B$3:$B$626)-1</f>
        <v>22</v>
      </c>
      <c r="O10" s="56">
        <f t="shared" ref="O10:O21" si="0">ROUND(K10*ROUND((1+(M10/100))^(N10/252)-1,6),4)</f>
        <v>108.5</v>
      </c>
      <c r="P10" s="23"/>
      <c r="Q10" s="24"/>
    </row>
    <row r="11" spans="1:19" x14ac:dyDescent="0.2">
      <c r="A11" s="25">
        <f>+A10+E10</f>
        <v>100108.5</v>
      </c>
      <c r="B11" s="26">
        <v>43538</v>
      </c>
      <c r="C11" s="21">
        <v>1.25</v>
      </c>
      <c r="D11" s="27">
        <f>NETWORKDAYS(B10,B11,Feriados!$B$3:$B$626)-1</f>
        <v>18</v>
      </c>
      <c r="E11" s="55">
        <f t="shared" ref="E11:E26" si="1">ROUND(A11*ROUND((1+(C11/100))^(D11/252)-1,6),4)</f>
        <v>88.896299999999997</v>
      </c>
      <c r="F11" s="7"/>
      <c r="G11" s="28"/>
      <c r="I11" s="36"/>
      <c r="K11" s="25">
        <f>+K10+O10</f>
        <v>100108.5</v>
      </c>
      <c r="L11" s="26">
        <v>43538</v>
      </c>
      <c r="M11" s="21">
        <v>1.25</v>
      </c>
      <c r="N11" s="27">
        <f>NETWORKDAYS(L10,L11,Feriados!$B$3:$B$626)-1</f>
        <v>18</v>
      </c>
      <c r="O11" s="56">
        <f t="shared" si="0"/>
        <v>88.896299999999997</v>
      </c>
      <c r="P11" s="7"/>
      <c r="Q11" s="28"/>
    </row>
    <row r="12" spans="1:19" x14ac:dyDescent="0.2">
      <c r="A12" s="25">
        <f t="shared" ref="A12:A13" si="2">+A11+E11</f>
        <v>100197.39629999999</v>
      </c>
      <c r="B12" s="26">
        <v>43571</v>
      </c>
      <c r="C12" s="21">
        <v>1.25</v>
      </c>
      <c r="D12" s="27">
        <f>NETWORKDAYS(B11,B12,Feriados!$B$3:$B$626)-1</f>
        <v>22</v>
      </c>
      <c r="E12" s="55">
        <f t="shared" si="1"/>
        <v>108.71420000000001</v>
      </c>
      <c r="F12" s="7"/>
      <c r="G12" s="28"/>
      <c r="I12" s="36"/>
      <c r="K12" s="25">
        <f>+K11+O11</f>
        <v>100197.39629999999</v>
      </c>
      <c r="L12" s="26">
        <v>43571</v>
      </c>
      <c r="M12" s="21">
        <v>1.25</v>
      </c>
      <c r="N12" s="27">
        <f>NETWORKDAYS(L11,L12,Feriados!$B$3:$B$626)-1</f>
        <v>22</v>
      </c>
      <c r="O12" s="56">
        <f t="shared" si="0"/>
        <v>108.71420000000001</v>
      </c>
      <c r="P12" s="7"/>
      <c r="Q12" s="28"/>
    </row>
    <row r="13" spans="1:19" x14ac:dyDescent="0.2">
      <c r="A13" s="25">
        <f t="shared" si="2"/>
        <v>100306.1105</v>
      </c>
      <c r="B13" s="26">
        <v>43599</v>
      </c>
      <c r="C13" s="21">
        <v>1.25</v>
      </c>
      <c r="D13" s="27">
        <f>NETWORKDAYS(B12,B13,Feriados!$B$3:$B$626)-1</f>
        <v>18</v>
      </c>
      <c r="E13" s="55">
        <f t="shared" si="1"/>
        <v>89.071799999999996</v>
      </c>
      <c r="F13" s="7"/>
      <c r="G13" s="28"/>
      <c r="I13" s="36"/>
      <c r="K13" s="25">
        <f>+K12+O12</f>
        <v>100306.1105</v>
      </c>
      <c r="L13" s="26">
        <v>43599</v>
      </c>
      <c r="M13" s="21">
        <v>1.25</v>
      </c>
      <c r="N13" s="27">
        <f>NETWORKDAYS(L12,L13,Feriados!$B$3:$B$626)-1</f>
        <v>18</v>
      </c>
      <c r="O13" s="56">
        <f t="shared" si="0"/>
        <v>89.071799999999996</v>
      </c>
      <c r="P13" s="7"/>
      <c r="Q13" s="28"/>
    </row>
    <row r="14" spans="1:19" x14ac:dyDescent="0.2">
      <c r="A14" s="25">
        <f>+A13+E13</f>
        <v>100395.1823</v>
      </c>
      <c r="B14" s="26">
        <v>43630</v>
      </c>
      <c r="C14" s="21">
        <v>1.25</v>
      </c>
      <c r="D14" s="27">
        <f>NETWORKDAYS(B13,B14,Feriados!$B$3:$B$626)-1</f>
        <v>22</v>
      </c>
      <c r="E14" s="55">
        <f>ROUND(A14*ROUND((1+(C14/100))^(D14/252)-1,6),4)</f>
        <v>108.9288</v>
      </c>
      <c r="F14" s="7">
        <v>24</v>
      </c>
      <c r="G14" s="29">
        <f t="shared" ref="G14:G26" si="3">TRUNC(A14/F14,4)</f>
        <v>4183.1324999999997</v>
      </c>
      <c r="I14" s="36"/>
      <c r="K14" s="25">
        <f>+K13+O13</f>
        <v>100395.1823</v>
      </c>
      <c r="L14" s="26">
        <v>43630</v>
      </c>
      <c r="M14" s="21">
        <v>1.25</v>
      </c>
      <c r="N14" s="27">
        <f>NETWORKDAYS(L13,L14,Feriados!$B$3:$B$626)-1</f>
        <v>22</v>
      </c>
      <c r="O14" s="56">
        <f t="shared" si="0"/>
        <v>108.9288</v>
      </c>
      <c r="P14" s="7">
        <v>24</v>
      </c>
      <c r="Q14" s="29">
        <f t="shared" ref="Q14:Q20" si="4">TRUNC(K14/P14,4)</f>
        <v>4183.1324999999997</v>
      </c>
    </row>
    <row r="15" spans="1:19" x14ac:dyDescent="0.2">
      <c r="A15" s="25">
        <f t="shared" ref="A15:A26" si="5">+A14-G14</f>
        <v>96212.049800000008</v>
      </c>
      <c r="B15" s="26">
        <v>43662</v>
      </c>
      <c r="C15" s="21">
        <v>1.25</v>
      </c>
      <c r="D15" s="27">
        <f>NETWORKDAYS(B14,B15,Feriados!$B$3:$B$626)-1</f>
        <v>22</v>
      </c>
      <c r="E15" s="55">
        <f t="shared" si="1"/>
        <v>104.3901</v>
      </c>
      <c r="F15" s="7">
        <f>+F14-1</f>
        <v>23</v>
      </c>
      <c r="G15" s="29">
        <f t="shared" si="3"/>
        <v>4183.1325999999999</v>
      </c>
      <c r="I15" s="36"/>
      <c r="K15" s="25">
        <f t="shared" ref="K15:K21" si="6">+K14-Q14</f>
        <v>96212.049800000008</v>
      </c>
      <c r="L15" s="26">
        <v>43662</v>
      </c>
      <c r="M15" s="21">
        <v>1.25</v>
      </c>
      <c r="N15" s="27">
        <f>NETWORKDAYS(L14,L15,Feriados!$B$3:$B$626)-1</f>
        <v>22</v>
      </c>
      <c r="O15" s="56">
        <f t="shared" si="0"/>
        <v>104.3901</v>
      </c>
      <c r="P15" s="7">
        <f>+P14-1</f>
        <v>23</v>
      </c>
      <c r="Q15" s="29">
        <f t="shared" si="4"/>
        <v>4183.1325999999999</v>
      </c>
    </row>
    <row r="16" spans="1:19" x14ac:dyDescent="0.2">
      <c r="A16" s="25">
        <f t="shared" si="5"/>
        <v>92028.917200000011</v>
      </c>
      <c r="B16" s="26">
        <v>43691</v>
      </c>
      <c r="C16" s="21">
        <v>1.25</v>
      </c>
      <c r="D16" s="27">
        <f>NETWORKDAYS(B15,B16,Feriados!$B$3:$B$626)-1</f>
        <v>21</v>
      </c>
      <c r="E16" s="55">
        <f t="shared" si="1"/>
        <v>95.341999999999999</v>
      </c>
      <c r="F16" s="7">
        <f>+F15-1</f>
        <v>22</v>
      </c>
      <c r="G16" s="29">
        <f t="shared" si="3"/>
        <v>4183.1325999999999</v>
      </c>
      <c r="I16" s="36"/>
      <c r="K16" s="25">
        <f t="shared" si="6"/>
        <v>92028.917200000011</v>
      </c>
      <c r="L16" s="26">
        <v>43691</v>
      </c>
      <c r="M16" s="21">
        <v>1.25</v>
      </c>
      <c r="N16" s="27">
        <f>NETWORKDAYS(L15,L16,Feriados!$B$3:$B$626)-1</f>
        <v>21</v>
      </c>
      <c r="O16" s="56">
        <f t="shared" si="0"/>
        <v>95.341999999999999</v>
      </c>
      <c r="P16" s="7">
        <f>+P15-1</f>
        <v>22</v>
      </c>
      <c r="Q16" s="29">
        <f t="shared" si="4"/>
        <v>4183.1325999999999</v>
      </c>
    </row>
    <row r="17" spans="1:17" x14ac:dyDescent="0.2">
      <c r="A17" s="25">
        <f t="shared" si="5"/>
        <v>87845.784600000014</v>
      </c>
      <c r="B17" s="26">
        <v>43722</v>
      </c>
      <c r="C17" s="21">
        <v>1.25</v>
      </c>
      <c r="D17" s="27">
        <f>NETWORKDAYS(B16,B17,Feriados!$B$3:$B$626)-1</f>
        <v>22</v>
      </c>
      <c r="E17" s="55">
        <f t="shared" si="1"/>
        <v>95.312700000000007</v>
      </c>
      <c r="F17" s="7">
        <f t="shared" ref="F17:F26" si="7">+F16-1</f>
        <v>21</v>
      </c>
      <c r="G17" s="29">
        <f t="shared" si="3"/>
        <v>4183.1325999999999</v>
      </c>
      <c r="I17" s="36"/>
      <c r="K17" s="25">
        <f t="shared" si="6"/>
        <v>87845.784600000014</v>
      </c>
      <c r="L17" s="26">
        <v>43722</v>
      </c>
      <c r="M17" s="21">
        <v>1.25</v>
      </c>
      <c r="N17" s="27">
        <f>NETWORKDAYS(L16,L17,Feriados!$B$3:$B$626)-1</f>
        <v>22</v>
      </c>
      <c r="O17" s="56">
        <f t="shared" si="0"/>
        <v>95.312700000000007</v>
      </c>
      <c r="P17" s="7">
        <f t="shared" ref="P17:P26" si="8">+P16-1</f>
        <v>21</v>
      </c>
      <c r="Q17" s="29">
        <f t="shared" si="4"/>
        <v>4183.1325999999999</v>
      </c>
    </row>
    <row r="18" spans="1:17" x14ac:dyDescent="0.2">
      <c r="A18" s="25">
        <f t="shared" si="5"/>
        <v>83662.652000000016</v>
      </c>
      <c r="B18" s="26">
        <v>43753</v>
      </c>
      <c r="C18" s="21">
        <v>1.25</v>
      </c>
      <c r="D18" s="27">
        <f>NETWORKDAYS(B17,B18,Feriados!$B$3:$B$626)-1</f>
        <v>20</v>
      </c>
      <c r="E18" s="55">
        <f t="shared" si="1"/>
        <v>82.491399999999999</v>
      </c>
      <c r="F18" s="7">
        <f t="shared" si="7"/>
        <v>20</v>
      </c>
      <c r="G18" s="29">
        <f t="shared" si="3"/>
        <v>4183.1325999999999</v>
      </c>
      <c r="I18" s="36"/>
      <c r="K18" s="25">
        <f t="shared" si="6"/>
        <v>83662.652000000016</v>
      </c>
      <c r="L18" s="26">
        <v>43753</v>
      </c>
      <c r="M18" s="21">
        <v>1.25</v>
      </c>
      <c r="N18" s="27">
        <f>NETWORKDAYS(L17,L18,Feriados!$B$3:$B$626)-1</f>
        <v>20</v>
      </c>
      <c r="O18" s="56">
        <f t="shared" si="0"/>
        <v>82.491399999999999</v>
      </c>
      <c r="P18" s="7">
        <f t="shared" si="8"/>
        <v>20</v>
      </c>
      <c r="Q18" s="29">
        <f t="shared" si="4"/>
        <v>4183.1325999999999</v>
      </c>
    </row>
    <row r="19" spans="1:17" x14ac:dyDescent="0.2">
      <c r="A19" s="25">
        <f t="shared" si="5"/>
        <v>79479.519400000019</v>
      </c>
      <c r="B19" s="26">
        <v>43784</v>
      </c>
      <c r="C19" s="21">
        <v>1.25</v>
      </c>
      <c r="D19" s="27">
        <f>NETWORKDAYS(B18,B19,Feriados!$B$3:$B$626)-1</f>
        <v>21</v>
      </c>
      <c r="E19" s="55">
        <f t="shared" si="1"/>
        <v>82.340800000000002</v>
      </c>
      <c r="F19" s="7">
        <f t="shared" si="7"/>
        <v>19</v>
      </c>
      <c r="G19" s="29">
        <f t="shared" si="3"/>
        <v>4183.1325999999999</v>
      </c>
      <c r="I19" s="36"/>
      <c r="K19" s="25">
        <f t="shared" si="6"/>
        <v>79479.519400000019</v>
      </c>
      <c r="L19" s="26">
        <v>43784</v>
      </c>
      <c r="M19" s="21">
        <v>1.25</v>
      </c>
      <c r="N19" s="27">
        <f>NETWORKDAYS(L18,L19,Feriados!$B$3:$B$626)-1</f>
        <v>21</v>
      </c>
      <c r="O19" s="56">
        <f t="shared" si="0"/>
        <v>82.340800000000002</v>
      </c>
      <c r="P19" s="7">
        <f t="shared" si="8"/>
        <v>19</v>
      </c>
      <c r="Q19" s="29">
        <f t="shared" si="4"/>
        <v>4183.1325999999999</v>
      </c>
    </row>
    <row r="20" spans="1:17" x14ac:dyDescent="0.2">
      <c r="A20" s="25">
        <f t="shared" si="5"/>
        <v>75296.386800000022</v>
      </c>
      <c r="B20" s="26">
        <v>43813</v>
      </c>
      <c r="C20" s="21">
        <v>1.25</v>
      </c>
      <c r="D20" s="27">
        <f>NETWORKDAYS(B19,B20,Feriados!$B$3:$B$626)-1</f>
        <v>21</v>
      </c>
      <c r="E20" s="55">
        <f t="shared" si="1"/>
        <v>78.007099999999994</v>
      </c>
      <c r="F20" s="7">
        <f t="shared" si="7"/>
        <v>18</v>
      </c>
      <c r="G20" s="29">
        <f t="shared" si="3"/>
        <v>4183.1325999999999</v>
      </c>
      <c r="I20" s="36"/>
      <c r="K20" s="25">
        <f t="shared" si="6"/>
        <v>75296.386800000022</v>
      </c>
      <c r="L20" s="26">
        <v>43813</v>
      </c>
      <c r="M20" s="21">
        <v>1.25</v>
      </c>
      <c r="N20" s="27">
        <f>NETWORKDAYS(L19,L20,Feriados!$B$3:$B$626)-1</f>
        <v>21</v>
      </c>
      <c r="O20" s="56">
        <f t="shared" si="0"/>
        <v>78.007099999999994</v>
      </c>
      <c r="P20" s="7">
        <f t="shared" si="8"/>
        <v>18</v>
      </c>
      <c r="Q20" s="29">
        <f t="shared" si="4"/>
        <v>4183.1325999999999</v>
      </c>
    </row>
    <row r="21" spans="1:17" x14ac:dyDescent="0.2">
      <c r="A21" s="25">
        <f t="shared" si="5"/>
        <v>71113.254200000025</v>
      </c>
      <c r="B21" s="26">
        <v>43844</v>
      </c>
      <c r="C21" s="21">
        <v>1.25</v>
      </c>
      <c r="D21" s="27">
        <f>NETWORKDAYS(B20,B21,Feriados!$B$3:$B$626)-1</f>
        <v>19</v>
      </c>
      <c r="E21" s="55">
        <f t="shared" si="1"/>
        <v>66.633099999999999</v>
      </c>
      <c r="F21" s="7">
        <f t="shared" si="7"/>
        <v>17</v>
      </c>
      <c r="G21" s="29">
        <f t="shared" si="3"/>
        <v>4183.1325999999999</v>
      </c>
      <c r="I21" s="36"/>
      <c r="K21" s="25">
        <f t="shared" si="6"/>
        <v>71113.254200000025</v>
      </c>
      <c r="L21" s="26">
        <v>43827</v>
      </c>
      <c r="M21" s="21">
        <v>1.25</v>
      </c>
      <c r="N21" s="27">
        <f>NETWORKDAYS(L20,L21,Feriados!$B$3:$B$626)-1</f>
        <v>9</v>
      </c>
      <c r="O21" s="57">
        <f t="shared" si="0"/>
        <v>31.574300000000001</v>
      </c>
      <c r="P21" s="7" t="s">
        <v>24</v>
      </c>
      <c r="Q21" s="41">
        <f>SUM(O17:O20,Q17:Q20)</f>
        <v>17070.682400000002</v>
      </c>
    </row>
    <row r="22" spans="1:17" x14ac:dyDescent="0.2">
      <c r="A22" s="25">
        <f t="shared" si="5"/>
        <v>66930.121600000028</v>
      </c>
      <c r="B22" s="26">
        <v>43875</v>
      </c>
      <c r="C22" s="21">
        <v>1.25</v>
      </c>
      <c r="D22" s="27">
        <f>NETWORKDAYS(B21,B22,Feriados!$B$3:$B$626)-1</f>
        <v>21</v>
      </c>
      <c r="E22" s="55">
        <f t="shared" si="1"/>
        <v>69.339600000000004</v>
      </c>
      <c r="F22" s="7">
        <f t="shared" si="7"/>
        <v>16</v>
      </c>
      <c r="G22" s="29">
        <f t="shared" si="3"/>
        <v>4183.1325999999999</v>
      </c>
      <c r="I22" s="36"/>
      <c r="K22" s="42">
        <f>+K21+Q21</f>
        <v>88183.93660000003</v>
      </c>
      <c r="L22" s="26">
        <v>43844</v>
      </c>
      <c r="M22" s="21">
        <v>1.25</v>
      </c>
      <c r="N22" s="27">
        <f>NETWORKDAYS(L21,L22,Feriados!$B$3:$B$626)-1</f>
        <v>10</v>
      </c>
      <c r="O22" s="41">
        <f>ROUND((K22+O21)*ROUND((1+(M22/100))^(N22/252)-1,6),4)+O21</f>
        <v>75.06450000000001</v>
      </c>
      <c r="P22" s="7"/>
      <c r="Q22" s="29"/>
    </row>
    <row r="23" spans="1:17" x14ac:dyDescent="0.2">
      <c r="A23" s="25">
        <f t="shared" si="5"/>
        <v>62746.989000000031</v>
      </c>
      <c r="B23" s="26">
        <v>43904</v>
      </c>
      <c r="C23" s="21">
        <v>1.25</v>
      </c>
      <c r="D23" s="27">
        <f>NETWORKDAYS(B22,B23,Feriados!$B$3:$B$626)-1</f>
        <v>21</v>
      </c>
      <c r="E23" s="55">
        <f t="shared" si="1"/>
        <v>65.005899999999997</v>
      </c>
      <c r="F23" s="7">
        <f t="shared" si="7"/>
        <v>15</v>
      </c>
      <c r="G23" s="29">
        <f t="shared" si="3"/>
        <v>4183.1325999999999</v>
      </c>
      <c r="I23" s="36"/>
      <c r="K23" s="42">
        <f>+K22+O22</f>
        <v>88259.001100000023</v>
      </c>
      <c r="L23" s="26">
        <v>43875</v>
      </c>
      <c r="M23" s="21">
        <v>1.25</v>
      </c>
      <c r="N23" s="27">
        <f>NETWORKDAYS(L22,L23,Feriados!$B$3:$B$626)-1</f>
        <v>21</v>
      </c>
      <c r="O23" s="41">
        <f>ROUND(K23*ROUND((1+(M23/100))^(N23/252)-1,6),4)</f>
        <v>91.436300000000003</v>
      </c>
      <c r="P23" s="7"/>
      <c r="Q23" s="29"/>
    </row>
    <row r="24" spans="1:17" x14ac:dyDescent="0.2">
      <c r="A24" s="25">
        <f t="shared" si="5"/>
        <v>58563.856400000033</v>
      </c>
      <c r="B24" s="26">
        <v>43935</v>
      </c>
      <c r="C24" s="21">
        <v>1.25</v>
      </c>
      <c r="D24" s="27">
        <f>NETWORKDAYS(B23,B24,Feriados!$B$3:$B$626)-1</f>
        <v>20</v>
      </c>
      <c r="E24" s="55">
        <f t="shared" si="1"/>
        <v>57.744</v>
      </c>
      <c r="F24" s="7">
        <f t="shared" si="7"/>
        <v>14</v>
      </c>
      <c r="G24" s="29">
        <f t="shared" si="3"/>
        <v>4183.1325999999999</v>
      </c>
      <c r="I24" s="36"/>
      <c r="K24" s="42">
        <f>+K23+O23</f>
        <v>88350.437400000024</v>
      </c>
      <c r="L24" s="26">
        <v>43904</v>
      </c>
      <c r="M24" s="21">
        <v>1.25</v>
      </c>
      <c r="N24" s="27">
        <f>NETWORKDAYS(L23,L24,Feriados!$B$3:$B$626)-1</f>
        <v>21</v>
      </c>
      <c r="O24" s="55">
        <f>ROUND(K24*ROUND((1+(M24/100))^(N24/252)-1,6),4)</f>
        <v>91.531099999999995</v>
      </c>
      <c r="P24" s="7">
        <v>27</v>
      </c>
      <c r="Q24" s="29">
        <f>TRUNC(K24/P24,4)</f>
        <v>3272.2384000000002</v>
      </c>
    </row>
    <row r="25" spans="1:17" x14ac:dyDescent="0.2">
      <c r="A25" s="25">
        <f t="shared" si="5"/>
        <v>54380.723800000036</v>
      </c>
      <c r="B25" s="26">
        <v>43965</v>
      </c>
      <c r="C25" s="21">
        <v>1.25</v>
      </c>
      <c r="D25" s="27">
        <f>NETWORKDAYS(B24,B25,Feriados!$B$3:$B$626)-1</f>
        <v>21</v>
      </c>
      <c r="E25" s="55">
        <f t="shared" si="1"/>
        <v>56.3384</v>
      </c>
      <c r="F25" s="7">
        <f t="shared" si="7"/>
        <v>13</v>
      </c>
      <c r="G25" s="29">
        <f t="shared" si="3"/>
        <v>4183.1325999999999</v>
      </c>
      <c r="I25" s="36"/>
      <c r="K25" s="25">
        <f>+K24-Q24</f>
        <v>85078.199000000022</v>
      </c>
      <c r="L25" s="26">
        <v>43935</v>
      </c>
      <c r="M25" s="21">
        <v>1.25</v>
      </c>
      <c r="N25" s="27">
        <f>NETWORKDAYS(L24,L25,Feriados!$B$3:$B$626)-1</f>
        <v>20</v>
      </c>
      <c r="O25" s="55">
        <f>ROUND(K25*ROUND((1+(M25/100))^(N25/252)-1,6),4)</f>
        <v>83.887100000000004</v>
      </c>
      <c r="P25" s="7">
        <f t="shared" si="8"/>
        <v>26</v>
      </c>
      <c r="Q25" s="29">
        <f>TRUNC(K25/P25,4)</f>
        <v>3272.2384000000002</v>
      </c>
    </row>
    <row r="26" spans="1:17" x14ac:dyDescent="0.2">
      <c r="A26" s="25">
        <f t="shared" si="5"/>
        <v>50197.591200000039</v>
      </c>
      <c r="B26" s="26">
        <v>43998</v>
      </c>
      <c r="C26" s="21">
        <v>1.25</v>
      </c>
      <c r="D26" s="27">
        <f>NETWORKDAYS(B25,B26,Feriados!$B$3:$B$626)-1</f>
        <v>22</v>
      </c>
      <c r="E26" s="55">
        <f t="shared" si="1"/>
        <v>54.464399999999998</v>
      </c>
      <c r="F26" s="7">
        <f t="shared" si="7"/>
        <v>12</v>
      </c>
      <c r="G26" s="29">
        <f t="shared" si="3"/>
        <v>4183.1325999999999</v>
      </c>
      <c r="I26" s="36"/>
      <c r="K26" s="25">
        <f>+K25-Q25</f>
        <v>81805.96060000002</v>
      </c>
      <c r="L26" s="26">
        <v>43965</v>
      </c>
      <c r="M26" s="21">
        <v>1.25</v>
      </c>
      <c r="N26" s="27">
        <f>NETWORKDAYS(L25,L26,Feriados!$B$3:$B$626)-1</f>
        <v>21</v>
      </c>
      <c r="O26" s="55">
        <f>ROUND(K26*ROUND((1+(M26/100))^(N26/252)-1,6),4)</f>
        <v>84.751000000000005</v>
      </c>
      <c r="P26" s="7">
        <f t="shared" si="8"/>
        <v>25</v>
      </c>
      <c r="Q26" s="29">
        <f>TRUNC(K26/P26,4)</f>
        <v>3272.2384000000002</v>
      </c>
    </row>
    <row r="27" spans="1:17" x14ac:dyDescent="0.2">
      <c r="A27" s="14"/>
      <c r="B27" s="9"/>
      <c r="C27" s="15"/>
      <c r="D27" s="16"/>
      <c r="E27" s="17"/>
      <c r="I27" s="36"/>
      <c r="K27" s="14"/>
      <c r="L27" s="15"/>
      <c r="M27" s="15"/>
      <c r="N27" s="16"/>
      <c r="O27" s="17"/>
      <c r="P27" s="13"/>
    </row>
    <row r="28" spans="1:17" x14ac:dyDescent="0.2">
      <c r="A28" s="5" t="s">
        <v>11</v>
      </c>
      <c r="I28" s="36"/>
      <c r="K28" s="5" t="s">
        <v>11</v>
      </c>
    </row>
  </sheetData>
  <mergeCells count="13">
    <mergeCell ref="D3:E3"/>
    <mergeCell ref="D4:E4"/>
    <mergeCell ref="F7:G7"/>
    <mergeCell ref="A7:A8"/>
    <mergeCell ref="B7:B8"/>
    <mergeCell ref="C7:E7"/>
    <mergeCell ref="P7:Q7"/>
    <mergeCell ref="M3:N3"/>
    <mergeCell ref="M4:N4"/>
    <mergeCell ref="K7:K8"/>
    <mergeCell ref="L7:L8"/>
    <mergeCell ref="M7:O7"/>
    <mergeCell ref="P3:S3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6757-EF61-4C10-AFCB-CC3B5BC6AA69}">
  <dimension ref="A1:U35"/>
  <sheetViews>
    <sheetView showGridLines="0" workbookViewId="0">
      <selection activeCell="H3" sqref="H3"/>
    </sheetView>
  </sheetViews>
  <sheetFormatPr defaultRowHeight="14.25" x14ac:dyDescent="0.2"/>
  <cols>
    <col min="1" max="1" width="13.42578125" customWidth="1"/>
    <col min="2" max="3" width="14.85546875" customWidth="1"/>
    <col min="4" max="5" width="11.7109375" customWidth="1"/>
    <col min="6" max="6" width="13.42578125" customWidth="1"/>
    <col min="7" max="7" width="7.5703125" customWidth="1"/>
    <col min="8" max="8" width="13.42578125" customWidth="1"/>
    <col min="9" max="9" width="1.7109375" style="5" customWidth="1"/>
    <col min="10" max="10" width="0.140625" style="5" customWidth="1"/>
    <col min="11" max="11" width="1.7109375" style="5" customWidth="1"/>
    <col min="12" max="12" width="13.42578125" customWidth="1"/>
    <col min="13" max="13" width="13.28515625" customWidth="1"/>
    <col min="14" max="14" width="13" customWidth="1"/>
    <col min="15" max="16" width="11.7109375" customWidth="1"/>
    <col min="17" max="17" width="13.42578125" customWidth="1"/>
    <col min="18" max="18" width="7.42578125" customWidth="1"/>
    <col min="19" max="19" width="15.140625" customWidth="1"/>
    <col min="20" max="20" width="12.7109375" customWidth="1"/>
  </cols>
  <sheetData>
    <row r="1" spans="1:21" ht="15" x14ac:dyDescent="0.25">
      <c r="A1" s="4" t="s">
        <v>25</v>
      </c>
      <c r="B1" s="4" t="s">
        <v>13</v>
      </c>
      <c r="C1" s="4" t="s">
        <v>17</v>
      </c>
      <c r="J1" s="36"/>
      <c r="L1" s="4" t="s">
        <v>25</v>
      </c>
      <c r="M1" s="4" t="s">
        <v>13</v>
      </c>
      <c r="N1" s="4" t="s">
        <v>18</v>
      </c>
    </row>
    <row r="2" spans="1:21" ht="15" thickBot="1" x14ac:dyDescent="0.25">
      <c r="J2" s="36"/>
    </row>
    <row r="3" spans="1:21" ht="27.6" customHeight="1" thickBot="1" x14ac:dyDescent="0.25">
      <c r="A3" s="32" t="s">
        <v>14</v>
      </c>
      <c r="B3" s="32" t="s">
        <v>6</v>
      </c>
      <c r="J3" s="36"/>
      <c r="L3" s="37" t="s">
        <v>19</v>
      </c>
      <c r="M3" s="37" t="s">
        <v>20</v>
      </c>
      <c r="N3" s="100" t="s">
        <v>22</v>
      </c>
      <c r="O3" s="100"/>
      <c r="P3" s="100" t="s">
        <v>21</v>
      </c>
      <c r="Q3" s="100"/>
      <c r="R3" s="109" t="s">
        <v>34</v>
      </c>
      <c r="S3" s="109"/>
      <c r="T3" s="109"/>
      <c r="U3" s="109"/>
    </row>
    <row r="4" spans="1:21" ht="15" thickBot="1" x14ac:dyDescent="0.25">
      <c r="A4" s="68">
        <v>43480</v>
      </c>
      <c r="B4" s="66">
        <v>440000</v>
      </c>
      <c r="J4" s="36"/>
      <c r="L4" s="67">
        <v>2</v>
      </c>
      <c r="M4" s="67">
        <v>2</v>
      </c>
      <c r="N4" s="101">
        <f>L4+M4</f>
        <v>4</v>
      </c>
      <c r="O4" s="101"/>
      <c r="P4" s="101">
        <v>0</v>
      </c>
      <c r="Q4" s="101"/>
      <c r="R4" s="109"/>
      <c r="S4" s="109"/>
      <c r="T4" s="109"/>
      <c r="U4" s="109"/>
    </row>
    <row r="5" spans="1:21" x14ac:dyDescent="0.2">
      <c r="J5" s="36"/>
    </row>
    <row r="6" spans="1:21" ht="15" thickBot="1" x14ac:dyDescent="0.25">
      <c r="A6" s="46" t="s">
        <v>26</v>
      </c>
      <c r="J6" s="36"/>
      <c r="L6" s="46" t="s">
        <v>26</v>
      </c>
    </row>
    <row r="7" spans="1:21" ht="15" x14ac:dyDescent="0.25">
      <c r="A7" s="124" t="s">
        <v>27</v>
      </c>
      <c r="B7" s="116" t="s">
        <v>28</v>
      </c>
      <c r="C7" s="116" t="s">
        <v>29</v>
      </c>
      <c r="D7" s="126" t="s">
        <v>8</v>
      </c>
      <c r="E7" s="127"/>
      <c r="F7" s="127"/>
      <c r="G7" s="126" t="s">
        <v>9</v>
      </c>
      <c r="H7" s="127"/>
      <c r="J7" s="36"/>
      <c r="L7" s="120" t="s">
        <v>27</v>
      </c>
      <c r="M7" s="104" t="s">
        <v>28</v>
      </c>
      <c r="N7" s="104" t="s">
        <v>29</v>
      </c>
      <c r="O7" s="122" t="s">
        <v>8</v>
      </c>
      <c r="P7" s="123"/>
      <c r="Q7" s="123"/>
      <c r="R7" s="122" t="s">
        <v>9</v>
      </c>
      <c r="S7" s="123"/>
    </row>
    <row r="8" spans="1:21" ht="30.75" thickBot="1" x14ac:dyDescent="0.25">
      <c r="A8" s="125"/>
      <c r="B8" s="117"/>
      <c r="C8" s="117"/>
      <c r="D8" s="33" t="s">
        <v>30</v>
      </c>
      <c r="E8" s="33" t="s">
        <v>31</v>
      </c>
      <c r="F8" s="35" t="s">
        <v>5</v>
      </c>
      <c r="G8" s="33" t="s">
        <v>16</v>
      </c>
      <c r="H8" s="35" t="s">
        <v>32</v>
      </c>
      <c r="J8" s="36"/>
      <c r="L8" s="121"/>
      <c r="M8" s="105"/>
      <c r="N8" s="105"/>
      <c r="O8" s="38" t="s">
        <v>30</v>
      </c>
      <c r="P8" s="38" t="s">
        <v>31</v>
      </c>
      <c r="Q8" s="40" t="s">
        <v>5</v>
      </c>
      <c r="R8" s="38" t="s">
        <v>16</v>
      </c>
      <c r="S8" s="40" t="s">
        <v>32</v>
      </c>
    </row>
    <row r="9" spans="1:21" x14ac:dyDescent="0.2">
      <c r="A9" s="47">
        <f>+B4</f>
        <v>440000</v>
      </c>
      <c r="B9" s="20">
        <f>+A4</f>
        <v>43480</v>
      </c>
      <c r="C9" s="20">
        <v>43510</v>
      </c>
      <c r="D9" s="44">
        <v>7.4</v>
      </c>
      <c r="E9" s="22">
        <f>+C9-B9</f>
        <v>30</v>
      </c>
      <c r="F9" s="44">
        <f t="shared" ref="F9:F16" si="0">ROUND(A9*(ROUND((1+(D9/100))^(E9/365)-1,6)),2)</f>
        <v>2589.4</v>
      </c>
      <c r="G9" s="24"/>
      <c r="H9" s="44"/>
      <c r="J9" s="36"/>
      <c r="L9" s="47">
        <f>B4</f>
        <v>440000</v>
      </c>
      <c r="M9" s="20">
        <f>A4</f>
        <v>43480</v>
      </c>
      <c r="N9" s="20">
        <v>43510</v>
      </c>
      <c r="O9" s="44">
        <v>7.4</v>
      </c>
      <c r="P9" s="22">
        <f>+N9-M9</f>
        <v>30</v>
      </c>
      <c r="Q9" s="44">
        <f t="shared" ref="Q9:Q15" si="1">ROUND(L9*(ROUND((1+(O9/100))^(P9/365)-1,6)),2)</f>
        <v>2589.4</v>
      </c>
      <c r="R9" s="24"/>
      <c r="S9" s="44"/>
    </row>
    <row r="10" spans="1:21" x14ac:dyDescent="0.2">
      <c r="A10" s="47">
        <f>+A9+F9</f>
        <v>442589.4</v>
      </c>
      <c r="B10" s="26">
        <v>43510</v>
      </c>
      <c r="C10" s="26">
        <v>43538</v>
      </c>
      <c r="D10" s="45">
        <f t="shared" ref="D10:D16" si="2">+D9</f>
        <v>7.4</v>
      </c>
      <c r="E10" s="27">
        <f t="shared" ref="E10:E15" si="3">+C10-B10</f>
        <v>28</v>
      </c>
      <c r="F10" s="45">
        <f t="shared" si="0"/>
        <v>2430.6999999999998</v>
      </c>
      <c r="G10" s="28"/>
      <c r="H10" s="45"/>
      <c r="J10" s="36"/>
      <c r="L10" s="47">
        <f>+L9+Q9</f>
        <v>442589.4</v>
      </c>
      <c r="M10" s="26">
        <v>43510</v>
      </c>
      <c r="N10" s="26">
        <v>43538</v>
      </c>
      <c r="O10" s="45">
        <f t="shared" ref="O10:O16" si="4">+O9</f>
        <v>7.4</v>
      </c>
      <c r="P10" s="27">
        <f t="shared" ref="P10:P18" si="5">+N10-M10</f>
        <v>28</v>
      </c>
      <c r="Q10" s="45">
        <f t="shared" si="1"/>
        <v>2430.6999999999998</v>
      </c>
      <c r="R10" s="28"/>
      <c r="S10" s="45"/>
    </row>
    <row r="11" spans="1:21" x14ac:dyDescent="0.2">
      <c r="A11" s="47">
        <f>+A10+F10</f>
        <v>445020.10000000003</v>
      </c>
      <c r="B11" s="26">
        <v>43538</v>
      </c>
      <c r="C11" s="26">
        <v>43571</v>
      </c>
      <c r="D11" s="45">
        <f t="shared" si="2"/>
        <v>7.4</v>
      </c>
      <c r="E11" s="27">
        <f t="shared" si="3"/>
        <v>33</v>
      </c>
      <c r="F11" s="45">
        <f t="shared" si="0"/>
        <v>2881.51</v>
      </c>
      <c r="G11" s="28"/>
      <c r="H11" s="45"/>
      <c r="J11" s="36"/>
      <c r="L11" s="47">
        <f>+L10+Q10</f>
        <v>445020.10000000003</v>
      </c>
      <c r="M11" s="26">
        <v>43538</v>
      </c>
      <c r="N11" s="26">
        <v>43571</v>
      </c>
      <c r="O11" s="45">
        <f t="shared" si="4"/>
        <v>7.4</v>
      </c>
      <c r="P11" s="27">
        <f t="shared" si="5"/>
        <v>33</v>
      </c>
      <c r="Q11" s="45">
        <f t="shared" si="1"/>
        <v>2881.51</v>
      </c>
      <c r="R11" s="28"/>
      <c r="S11" s="45"/>
    </row>
    <row r="12" spans="1:21" x14ac:dyDescent="0.2">
      <c r="A12" s="47">
        <f>+A11+F11</f>
        <v>447901.61000000004</v>
      </c>
      <c r="B12" s="26">
        <v>43571</v>
      </c>
      <c r="C12" s="26">
        <v>43599</v>
      </c>
      <c r="D12" s="45">
        <f t="shared" si="2"/>
        <v>7.4</v>
      </c>
      <c r="E12" s="27">
        <f t="shared" si="3"/>
        <v>28</v>
      </c>
      <c r="F12" s="45">
        <f t="shared" si="0"/>
        <v>2459.88</v>
      </c>
      <c r="G12" s="28"/>
      <c r="H12" s="45"/>
      <c r="J12" s="36"/>
      <c r="L12" s="47">
        <f>+L11+Q11</f>
        <v>447901.61000000004</v>
      </c>
      <c r="M12" s="26">
        <v>43571</v>
      </c>
      <c r="N12" s="26">
        <v>43599</v>
      </c>
      <c r="O12" s="45">
        <f t="shared" si="4"/>
        <v>7.4</v>
      </c>
      <c r="P12" s="27">
        <f t="shared" si="5"/>
        <v>28</v>
      </c>
      <c r="Q12" s="45">
        <f t="shared" si="1"/>
        <v>2459.88</v>
      </c>
      <c r="R12" s="28"/>
      <c r="S12" s="45"/>
    </row>
    <row r="13" spans="1:21" x14ac:dyDescent="0.2">
      <c r="A13" s="47">
        <f>+A12+F12</f>
        <v>450361.49000000005</v>
      </c>
      <c r="B13" s="26">
        <v>43599</v>
      </c>
      <c r="C13" s="26">
        <v>43630</v>
      </c>
      <c r="D13" s="45">
        <f t="shared" si="2"/>
        <v>7.4</v>
      </c>
      <c r="E13" s="27">
        <f t="shared" si="3"/>
        <v>31</v>
      </c>
      <c r="F13" s="45">
        <f t="shared" si="0"/>
        <v>2739.1</v>
      </c>
      <c r="G13" s="28">
        <v>18</v>
      </c>
      <c r="H13" s="45">
        <f>TRUNC(A13/G13,2)</f>
        <v>25020.080000000002</v>
      </c>
      <c r="J13" s="36"/>
      <c r="L13" s="47">
        <f>+L12+Q12</f>
        <v>450361.49000000005</v>
      </c>
      <c r="M13" s="26">
        <v>43599</v>
      </c>
      <c r="N13" s="26">
        <v>43630</v>
      </c>
      <c r="O13" s="45">
        <f t="shared" si="4"/>
        <v>7.4</v>
      </c>
      <c r="P13" s="27">
        <f t="shared" si="5"/>
        <v>31</v>
      </c>
      <c r="Q13" s="45">
        <f t="shared" si="1"/>
        <v>2739.1</v>
      </c>
      <c r="R13" s="28">
        <v>18</v>
      </c>
      <c r="S13" s="45">
        <f>TRUNC(L13/R13,2)</f>
        <v>25020.080000000002</v>
      </c>
    </row>
    <row r="14" spans="1:21" x14ac:dyDescent="0.2">
      <c r="A14" s="48">
        <f>+A13-H13</f>
        <v>425341.41000000003</v>
      </c>
      <c r="B14" s="26">
        <v>43630</v>
      </c>
      <c r="C14" s="26">
        <v>43662</v>
      </c>
      <c r="D14" s="45">
        <f t="shared" si="2"/>
        <v>7.4</v>
      </c>
      <c r="E14" s="27">
        <f t="shared" si="3"/>
        <v>32</v>
      </c>
      <c r="F14" s="45">
        <f t="shared" si="0"/>
        <v>2670.29</v>
      </c>
      <c r="G14" s="28">
        <f>+G13-1</f>
        <v>17</v>
      </c>
      <c r="H14" s="45">
        <f>TRUNC(A14/G14,2)</f>
        <v>25020.080000000002</v>
      </c>
      <c r="J14" s="36"/>
      <c r="L14" s="48">
        <f>+L13-S13</f>
        <v>425341.41000000003</v>
      </c>
      <c r="M14" s="26">
        <v>43630</v>
      </c>
      <c r="N14" s="26">
        <v>43662</v>
      </c>
      <c r="O14" s="45">
        <f t="shared" si="4"/>
        <v>7.4</v>
      </c>
      <c r="P14" s="27">
        <f t="shared" si="5"/>
        <v>32</v>
      </c>
      <c r="Q14" s="45">
        <f t="shared" si="1"/>
        <v>2670.29</v>
      </c>
      <c r="R14" s="28">
        <f>+R13-1</f>
        <v>17</v>
      </c>
      <c r="S14" s="45">
        <f>TRUNC(L14/R14,2)</f>
        <v>25020.080000000002</v>
      </c>
    </row>
    <row r="15" spans="1:21" x14ac:dyDescent="0.2">
      <c r="A15" s="48">
        <f>+A14-H14</f>
        <v>400321.33</v>
      </c>
      <c r="B15" s="26">
        <v>43662</v>
      </c>
      <c r="C15" s="26">
        <v>43691</v>
      </c>
      <c r="D15" s="45">
        <f t="shared" si="2"/>
        <v>7.4</v>
      </c>
      <c r="E15" s="27">
        <f t="shared" si="3"/>
        <v>29</v>
      </c>
      <c r="F15" s="45">
        <f t="shared" si="0"/>
        <v>2277.0300000000002</v>
      </c>
      <c r="G15" s="28">
        <f>+G14-1</f>
        <v>16</v>
      </c>
      <c r="H15" s="45">
        <f>TRUNC(A15/G15,2)</f>
        <v>25020.080000000002</v>
      </c>
      <c r="J15" s="36"/>
      <c r="L15" s="48">
        <f>+L14-S14</f>
        <v>400321.33</v>
      </c>
      <c r="M15" s="26">
        <v>43662</v>
      </c>
      <c r="N15" s="26">
        <v>43676</v>
      </c>
      <c r="O15" s="45">
        <f t="shared" si="4"/>
        <v>7.4</v>
      </c>
      <c r="P15" s="27">
        <f t="shared" si="5"/>
        <v>14</v>
      </c>
      <c r="Q15" s="43">
        <f t="shared" si="1"/>
        <v>1097.68</v>
      </c>
      <c r="R15" s="7" t="s">
        <v>24</v>
      </c>
      <c r="S15" s="53">
        <f>SUM(Q13:Q14,S13:S14)</f>
        <v>55449.55</v>
      </c>
    </row>
    <row r="16" spans="1:21" x14ac:dyDescent="0.2">
      <c r="A16" s="48">
        <f>+A15-H15</f>
        <v>375301.25</v>
      </c>
      <c r="B16" s="26">
        <v>43691</v>
      </c>
      <c r="C16" s="26">
        <v>43722</v>
      </c>
      <c r="D16" s="45">
        <f t="shared" si="2"/>
        <v>7.4</v>
      </c>
      <c r="E16" s="27">
        <f t="shared" ref="E16" si="6">+C16-B16</f>
        <v>31</v>
      </c>
      <c r="F16" s="45">
        <f t="shared" si="0"/>
        <v>2282.58</v>
      </c>
      <c r="G16" s="28">
        <f>+G15-1</f>
        <v>15</v>
      </c>
      <c r="H16" s="45">
        <f>TRUNC(A16/G16,2)</f>
        <v>25020.080000000002</v>
      </c>
      <c r="J16" s="36"/>
      <c r="L16" s="52">
        <f>+L15+S15</f>
        <v>455770.88</v>
      </c>
      <c r="M16" s="26">
        <v>43676</v>
      </c>
      <c r="N16" s="26">
        <v>43691</v>
      </c>
      <c r="O16" s="45">
        <f t="shared" si="4"/>
        <v>7.4</v>
      </c>
      <c r="P16" s="27">
        <f t="shared" si="5"/>
        <v>15</v>
      </c>
      <c r="Q16" s="53">
        <f>ROUND((L16+Q15)*(ROUND((1+(O16/100))^(P16/365)-1,6)),2)+Q15</f>
        <v>2439.96</v>
      </c>
      <c r="R16" s="28"/>
      <c r="S16" s="45"/>
    </row>
    <row r="17" spans="1:19" x14ac:dyDescent="0.2">
      <c r="A17" s="48">
        <f t="shared" ref="A17:A18" si="7">+A16-H16</f>
        <v>350281.17</v>
      </c>
      <c r="B17" s="26">
        <v>43722</v>
      </c>
      <c r="C17" s="26">
        <v>43753</v>
      </c>
      <c r="D17" s="45">
        <f t="shared" ref="D17:D19" si="8">+D16</f>
        <v>7.4</v>
      </c>
      <c r="E17" s="27">
        <f t="shared" ref="E17:E22" si="9">+C17-B17</f>
        <v>31</v>
      </c>
      <c r="F17" s="45">
        <f t="shared" ref="F17:F19" si="10">ROUND(A17*(ROUND((1+(D17/100))^(E17/365)-1,6)),2)</f>
        <v>2130.41</v>
      </c>
      <c r="G17" s="28">
        <f t="shared" ref="G17:G19" si="11">+G16-1</f>
        <v>14</v>
      </c>
      <c r="H17" s="45">
        <f t="shared" ref="H17:H19" si="12">TRUNC(A17/G17,2)</f>
        <v>25020.080000000002</v>
      </c>
      <c r="J17" s="36"/>
      <c r="L17" s="52">
        <f>+L16+Q16</f>
        <v>458210.84</v>
      </c>
      <c r="M17" s="26">
        <v>43691</v>
      </c>
      <c r="N17" s="26">
        <v>43722</v>
      </c>
      <c r="O17" s="45">
        <f t="shared" ref="O17:O18" si="13">+O16</f>
        <v>7.4</v>
      </c>
      <c r="P17" s="27">
        <f t="shared" si="5"/>
        <v>31</v>
      </c>
      <c r="Q17" s="53">
        <f>ROUND(L17*(ROUND((1+(O17/100))^(P17/365)-1,6)),2)</f>
        <v>2786.84</v>
      </c>
      <c r="R17" s="28"/>
      <c r="S17" s="45"/>
    </row>
    <row r="18" spans="1:19" x14ac:dyDescent="0.2">
      <c r="A18" s="48">
        <f t="shared" si="7"/>
        <v>325261.08999999997</v>
      </c>
      <c r="B18" s="26">
        <v>43753</v>
      </c>
      <c r="C18" s="26">
        <v>43784</v>
      </c>
      <c r="D18" s="45">
        <f t="shared" si="8"/>
        <v>7.4</v>
      </c>
      <c r="E18" s="27">
        <f t="shared" si="9"/>
        <v>31</v>
      </c>
      <c r="F18" s="45">
        <f t="shared" si="10"/>
        <v>1978.24</v>
      </c>
      <c r="G18" s="28">
        <f t="shared" si="11"/>
        <v>13</v>
      </c>
      <c r="H18" s="45">
        <f t="shared" si="12"/>
        <v>25020.080000000002</v>
      </c>
      <c r="J18" s="36"/>
      <c r="L18" s="52">
        <f>+L17+Q17</f>
        <v>460997.68000000005</v>
      </c>
      <c r="M18" s="26">
        <v>43722</v>
      </c>
      <c r="N18" s="26">
        <v>43753</v>
      </c>
      <c r="O18" s="45">
        <f t="shared" si="13"/>
        <v>7.4</v>
      </c>
      <c r="P18" s="27">
        <f t="shared" si="5"/>
        <v>31</v>
      </c>
      <c r="Q18" s="45">
        <f>ROUND(L18*(ROUND((1+(O18/100))^(P18/365)-1,6)),2)</f>
        <v>2803.79</v>
      </c>
      <c r="R18" s="28">
        <v>14</v>
      </c>
      <c r="S18" s="45">
        <f t="shared" ref="S18" si="14">TRUNC(L18/R18,2)</f>
        <v>32928.400000000001</v>
      </c>
    </row>
    <row r="19" spans="1:19" x14ac:dyDescent="0.2">
      <c r="A19" s="48">
        <f>+A18-H18</f>
        <v>300241.00999999995</v>
      </c>
      <c r="B19" s="26">
        <v>43784</v>
      </c>
      <c r="C19" s="26">
        <v>43813</v>
      </c>
      <c r="D19" s="45">
        <f t="shared" si="8"/>
        <v>7.4</v>
      </c>
      <c r="E19" s="27">
        <f>+C19-B19</f>
        <v>29</v>
      </c>
      <c r="F19" s="45">
        <f t="shared" si="10"/>
        <v>1707.77</v>
      </c>
      <c r="G19" s="28">
        <f t="shared" si="11"/>
        <v>12</v>
      </c>
      <c r="H19" s="45">
        <f t="shared" si="12"/>
        <v>25020.080000000002</v>
      </c>
      <c r="J19" s="36"/>
      <c r="L19" s="48">
        <f t="shared" ref="L19:L20" si="15">+L18-S18</f>
        <v>428069.28</v>
      </c>
      <c r="M19" s="26">
        <v>43753</v>
      </c>
      <c r="N19" s="26">
        <v>43784</v>
      </c>
      <c r="O19" s="45">
        <f t="shared" ref="O19:O20" si="16">+O18</f>
        <v>7.4</v>
      </c>
      <c r="P19" s="27">
        <f t="shared" ref="P19" si="17">+N19-M19</f>
        <v>31</v>
      </c>
      <c r="Q19" s="45">
        <f t="shared" ref="Q19:Q20" si="18">ROUND(L19*(ROUND((1+(O19/100))^(P19/365)-1,6)),2)</f>
        <v>2603.52</v>
      </c>
      <c r="R19" s="28">
        <f t="shared" ref="R19:R20" si="19">+R18-1</f>
        <v>13</v>
      </c>
      <c r="S19" s="45">
        <f t="shared" ref="S19:S20" si="20">TRUNC(L19/R19,2)</f>
        <v>32928.400000000001</v>
      </c>
    </row>
    <row r="20" spans="1:19" x14ac:dyDescent="0.2">
      <c r="A20" s="49">
        <f>+A19-H19</f>
        <v>275220.92999999993</v>
      </c>
      <c r="B20" s="50">
        <f t="shared" ref="B20" si="21">+C19</f>
        <v>43813</v>
      </c>
      <c r="C20" s="50">
        <v>43830</v>
      </c>
      <c r="D20" s="43">
        <v>7.4</v>
      </c>
      <c r="E20" s="51">
        <f t="shared" si="9"/>
        <v>17</v>
      </c>
      <c r="F20" s="43">
        <f>ROUND(A20*(ROUND((1+(D20/100))^(E20/365)-1,6)),2)</f>
        <v>916.76</v>
      </c>
      <c r="G20" s="28"/>
      <c r="H20" s="28"/>
      <c r="J20" s="36"/>
      <c r="L20" s="48">
        <f t="shared" si="15"/>
        <v>395140.88</v>
      </c>
      <c r="M20" s="26">
        <v>43784</v>
      </c>
      <c r="N20" s="26">
        <v>43813</v>
      </c>
      <c r="O20" s="45">
        <f t="shared" si="16"/>
        <v>7.4</v>
      </c>
      <c r="P20" s="27">
        <f>+N20-M20</f>
        <v>29</v>
      </c>
      <c r="Q20" s="45">
        <f t="shared" si="18"/>
        <v>2247.56</v>
      </c>
      <c r="R20" s="28">
        <f t="shared" si="19"/>
        <v>12</v>
      </c>
      <c r="S20" s="45">
        <f t="shared" si="20"/>
        <v>32928.400000000001</v>
      </c>
    </row>
    <row r="21" spans="1:19" x14ac:dyDescent="0.2">
      <c r="A21" s="48">
        <f>+A20-H20</f>
        <v>275220.92999999993</v>
      </c>
      <c r="B21" s="26">
        <v>43830</v>
      </c>
      <c r="C21" s="26">
        <v>43844</v>
      </c>
      <c r="D21" s="45">
        <v>7.4</v>
      </c>
      <c r="E21" s="27">
        <f t="shared" si="9"/>
        <v>14</v>
      </c>
      <c r="F21" s="45">
        <f>ROUND((A21+F20)*(ROUND((1+(D21/100))^(E21/366)-1,6)),2)+F20</f>
        <v>1671.72</v>
      </c>
      <c r="G21" s="28">
        <f>+G19-1</f>
        <v>11</v>
      </c>
      <c r="H21" s="45">
        <f>TRUNC(A21/G21,2)</f>
        <v>25020.080000000002</v>
      </c>
      <c r="J21" s="36"/>
      <c r="L21" s="49">
        <f>+L20-S20</f>
        <v>362212.48</v>
      </c>
      <c r="M21" s="50">
        <v>43813</v>
      </c>
      <c r="N21" s="50">
        <v>43830</v>
      </c>
      <c r="O21" s="43">
        <v>7.4</v>
      </c>
      <c r="P21" s="51">
        <f t="shared" ref="P21:P26" si="22">+N21-M21</f>
        <v>17</v>
      </c>
      <c r="Q21" s="43">
        <f>ROUND(L21*(ROUND((1+(O21/100))^(P21/365)-1,6)),2)</f>
        <v>1206.53</v>
      </c>
      <c r="R21" s="28"/>
      <c r="S21" s="28"/>
    </row>
    <row r="22" spans="1:19" x14ac:dyDescent="0.2">
      <c r="A22" s="48">
        <f>+A21-H21</f>
        <v>250200.84999999992</v>
      </c>
      <c r="B22" s="26">
        <v>43844</v>
      </c>
      <c r="C22" s="26">
        <v>43875</v>
      </c>
      <c r="D22" s="45">
        <v>7.4</v>
      </c>
      <c r="E22" s="27">
        <f t="shared" si="9"/>
        <v>31</v>
      </c>
      <c r="F22" s="45">
        <f>ROUND(A22*(ROUND((1+(D22/100))^(E22/366)-1,6)),2)</f>
        <v>1517.47</v>
      </c>
      <c r="G22" s="28">
        <f>+G21-1</f>
        <v>10</v>
      </c>
      <c r="H22" s="45">
        <f>TRUNC(A22/G22,2)</f>
        <v>25020.080000000002</v>
      </c>
      <c r="J22" s="36"/>
      <c r="L22" s="48">
        <f>+L21-S21</f>
        <v>362212.48</v>
      </c>
      <c r="M22" s="26">
        <v>43830</v>
      </c>
      <c r="N22" s="26">
        <v>43844</v>
      </c>
      <c r="O22" s="45">
        <v>7.4</v>
      </c>
      <c r="P22" s="27">
        <f t="shared" si="22"/>
        <v>14</v>
      </c>
      <c r="Q22" s="45">
        <f>ROUND((L22+Q21)*(ROUND((1+(O22/100))^(P22/366)-1,6)),2)+Q21</f>
        <v>2200.12</v>
      </c>
      <c r="R22" s="28">
        <f>+R20-1</f>
        <v>11</v>
      </c>
      <c r="S22" s="45">
        <f>TRUNC(L22/R22,2)</f>
        <v>32928.400000000001</v>
      </c>
    </row>
    <row r="23" spans="1:19" x14ac:dyDescent="0.2">
      <c r="A23" s="48">
        <f t="shared" ref="A23:A26" si="23">+A22-H22</f>
        <v>225180.7699999999</v>
      </c>
      <c r="B23" s="26">
        <v>43875</v>
      </c>
      <c r="C23" s="26">
        <v>43904</v>
      </c>
      <c r="D23" s="45">
        <f t="shared" ref="D23:D26" si="24">+D22</f>
        <v>7.4</v>
      </c>
      <c r="E23" s="27">
        <f t="shared" ref="E23:E26" si="25">+C23-B23</f>
        <v>29</v>
      </c>
      <c r="F23" s="45">
        <f t="shared" ref="F23:F26" si="26">ROUND(A23*(ROUND((1+(D23/100))^(E23/366)-1,6)),2)</f>
        <v>1277.45</v>
      </c>
      <c r="G23" s="28">
        <f t="shared" ref="G23:G26" si="27">+G22-1</f>
        <v>9</v>
      </c>
      <c r="H23" s="45">
        <f t="shared" ref="H23:H26" si="28">TRUNC(A23/G23,2)</f>
        <v>25020.080000000002</v>
      </c>
      <c r="J23" s="36"/>
      <c r="L23" s="48">
        <f>+L22-S22</f>
        <v>329284.07999999996</v>
      </c>
      <c r="M23" s="26">
        <v>43844</v>
      </c>
      <c r="N23" s="26">
        <v>43875</v>
      </c>
      <c r="O23" s="45">
        <v>7.4</v>
      </c>
      <c r="P23" s="27">
        <f t="shared" si="22"/>
        <v>31</v>
      </c>
      <c r="Q23" s="45">
        <f>ROUND(L23*(ROUND((1+(O23/100))^(P23/366)-1,6)),2)</f>
        <v>1997.11</v>
      </c>
      <c r="R23" s="28">
        <f>+R22-1</f>
        <v>10</v>
      </c>
      <c r="S23" s="45">
        <f>TRUNC(L23/R23,2)</f>
        <v>32928.400000000001</v>
      </c>
    </row>
    <row r="24" spans="1:19" x14ac:dyDescent="0.2">
      <c r="A24" s="48">
        <f t="shared" si="23"/>
        <v>200160.68999999989</v>
      </c>
      <c r="B24" s="26">
        <v>43904</v>
      </c>
      <c r="C24" s="26">
        <v>43935</v>
      </c>
      <c r="D24" s="45">
        <f t="shared" si="24"/>
        <v>7.4</v>
      </c>
      <c r="E24" s="27">
        <f t="shared" si="25"/>
        <v>31</v>
      </c>
      <c r="F24" s="45">
        <f t="shared" si="26"/>
        <v>1213.97</v>
      </c>
      <c r="G24" s="28">
        <f t="shared" si="27"/>
        <v>8</v>
      </c>
      <c r="H24" s="45">
        <f t="shared" si="28"/>
        <v>25020.080000000002</v>
      </c>
      <c r="J24" s="36"/>
      <c r="L24" s="48">
        <f t="shared" ref="L24:L26" si="29">+L23-S23</f>
        <v>296355.67999999993</v>
      </c>
      <c r="M24" s="26">
        <v>43875</v>
      </c>
      <c r="N24" s="26">
        <v>43904</v>
      </c>
      <c r="O24" s="45">
        <f t="shared" ref="O24:O26" si="30">+O23</f>
        <v>7.4</v>
      </c>
      <c r="P24" s="27">
        <f t="shared" si="22"/>
        <v>29</v>
      </c>
      <c r="Q24" s="45">
        <f t="shared" ref="Q24:Q26" si="31">ROUND(L24*(ROUND((1+(O24/100))^(P24/366)-1,6)),2)</f>
        <v>1681.23</v>
      </c>
      <c r="R24" s="28">
        <f t="shared" ref="R24:R26" si="32">+R23-1</f>
        <v>9</v>
      </c>
      <c r="S24" s="45">
        <f t="shared" ref="S24:S26" si="33">TRUNC(L24/R24,2)</f>
        <v>32928.400000000001</v>
      </c>
    </row>
    <row r="25" spans="1:19" x14ac:dyDescent="0.2">
      <c r="A25" s="48">
        <f t="shared" si="23"/>
        <v>175140.60999999987</v>
      </c>
      <c r="B25" s="26">
        <v>43935</v>
      </c>
      <c r="C25" s="26">
        <v>43965</v>
      </c>
      <c r="D25" s="45">
        <f t="shared" si="24"/>
        <v>7.4</v>
      </c>
      <c r="E25" s="27">
        <f t="shared" si="25"/>
        <v>30</v>
      </c>
      <c r="F25" s="45">
        <f t="shared" si="26"/>
        <v>1027.9000000000001</v>
      </c>
      <c r="G25" s="28">
        <f t="shared" si="27"/>
        <v>7</v>
      </c>
      <c r="H25" s="45">
        <f t="shared" si="28"/>
        <v>25020.080000000002</v>
      </c>
      <c r="J25" s="36"/>
      <c r="L25" s="48">
        <f t="shared" si="29"/>
        <v>263427.27999999991</v>
      </c>
      <c r="M25" s="26">
        <v>43904</v>
      </c>
      <c r="N25" s="26">
        <v>43935</v>
      </c>
      <c r="O25" s="45">
        <f t="shared" si="30"/>
        <v>7.4</v>
      </c>
      <c r="P25" s="27">
        <f t="shared" si="22"/>
        <v>31</v>
      </c>
      <c r="Q25" s="45">
        <f t="shared" si="31"/>
        <v>1597.69</v>
      </c>
      <c r="R25" s="28">
        <f t="shared" si="32"/>
        <v>8</v>
      </c>
      <c r="S25" s="45">
        <f t="shared" si="33"/>
        <v>32928.410000000003</v>
      </c>
    </row>
    <row r="26" spans="1:19" x14ac:dyDescent="0.2">
      <c r="A26" s="48">
        <f t="shared" si="23"/>
        <v>150120.52999999985</v>
      </c>
      <c r="B26" s="26">
        <v>43965</v>
      </c>
      <c r="C26" s="26">
        <v>43998</v>
      </c>
      <c r="D26" s="45">
        <f t="shared" si="24"/>
        <v>7.4</v>
      </c>
      <c r="E26" s="27">
        <f t="shared" si="25"/>
        <v>33</v>
      </c>
      <c r="F26" s="45">
        <f t="shared" si="26"/>
        <v>969.48</v>
      </c>
      <c r="G26" s="28">
        <f t="shared" si="27"/>
        <v>6</v>
      </c>
      <c r="H26" s="45">
        <f t="shared" si="28"/>
        <v>25020.080000000002</v>
      </c>
      <c r="J26" s="36"/>
      <c r="L26" s="48">
        <f t="shared" si="29"/>
        <v>230498.86999999991</v>
      </c>
      <c r="M26" s="26">
        <v>43935</v>
      </c>
      <c r="N26" s="26">
        <v>43965</v>
      </c>
      <c r="O26" s="45">
        <f t="shared" si="30"/>
        <v>7.4</v>
      </c>
      <c r="P26" s="27">
        <f t="shared" si="22"/>
        <v>30</v>
      </c>
      <c r="Q26" s="45">
        <f t="shared" si="31"/>
        <v>1352.8</v>
      </c>
      <c r="R26" s="28">
        <f t="shared" si="32"/>
        <v>7</v>
      </c>
      <c r="S26" s="45">
        <f t="shared" si="33"/>
        <v>32928.410000000003</v>
      </c>
    </row>
    <row r="27" spans="1:19" x14ac:dyDescent="0.2">
      <c r="E27" s="16"/>
      <c r="J27" s="36"/>
      <c r="P27" s="16"/>
    </row>
    <row r="28" spans="1:19" x14ac:dyDescent="0.2">
      <c r="A28" s="5" t="s">
        <v>11</v>
      </c>
      <c r="E28" s="16"/>
      <c r="J28" s="36"/>
      <c r="L28" s="5" t="s">
        <v>11</v>
      </c>
      <c r="P28" s="16"/>
    </row>
    <row r="29" spans="1:19" x14ac:dyDescent="0.2">
      <c r="E29" s="16"/>
      <c r="J29" s="36"/>
      <c r="P29" s="16"/>
    </row>
    <row r="30" spans="1:19" x14ac:dyDescent="0.2">
      <c r="J30" s="36"/>
    </row>
    <row r="31" spans="1:19" x14ac:dyDescent="0.2">
      <c r="J31" s="36"/>
    </row>
    <row r="32" spans="1:19" x14ac:dyDescent="0.2">
      <c r="J32" s="36"/>
    </row>
    <row r="33" spans="10:10" x14ac:dyDescent="0.2">
      <c r="J33" s="36"/>
    </row>
    <row r="34" spans="10:10" x14ac:dyDescent="0.2">
      <c r="J34" s="36"/>
    </row>
    <row r="35" spans="10:10" x14ac:dyDescent="0.2">
      <c r="J35" s="36"/>
    </row>
  </sheetData>
  <mergeCells count="15">
    <mergeCell ref="A7:A8"/>
    <mergeCell ref="B7:B8"/>
    <mergeCell ref="C7:C8"/>
    <mergeCell ref="D7:F7"/>
    <mergeCell ref="G7:H7"/>
    <mergeCell ref="L7:L8"/>
    <mergeCell ref="M7:M8"/>
    <mergeCell ref="N7:N8"/>
    <mergeCell ref="O7:Q7"/>
    <mergeCell ref="R7:S7"/>
    <mergeCell ref="N3:O3"/>
    <mergeCell ref="N4:O4"/>
    <mergeCell ref="P3:Q3"/>
    <mergeCell ref="P4:Q4"/>
    <mergeCell ref="R3:U4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4F07-612B-45F0-AB12-E27328090A4B}">
  <dimension ref="A1:Y30"/>
  <sheetViews>
    <sheetView showGridLines="0" zoomScale="97" zoomScaleNormal="97" workbookViewId="0">
      <selection activeCell="H3" sqref="H3"/>
    </sheetView>
  </sheetViews>
  <sheetFormatPr defaultColWidth="9.140625" defaultRowHeight="14.25" x14ac:dyDescent="0.2"/>
  <cols>
    <col min="1" max="1" width="17.42578125" customWidth="1"/>
    <col min="2" max="2" width="13.5703125" customWidth="1"/>
    <col min="3" max="4" width="12.42578125" customWidth="1"/>
    <col min="5" max="5" width="6.85546875" customWidth="1"/>
    <col min="6" max="8" width="15.5703125" customWidth="1"/>
    <col min="9" max="9" width="15.7109375" bestFit="1" customWidth="1"/>
    <col min="10" max="10" width="6.7109375" customWidth="1"/>
    <col min="11" max="11" width="14.7109375" bestFit="1" customWidth="1"/>
    <col min="12" max="12" width="1.7109375" style="5" customWidth="1"/>
    <col min="13" max="13" width="0.140625" style="5" customWidth="1"/>
    <col min="14" max="14" width="1.7109375" style="5" customWidth="1"/>
    <col min="15" max="15" width="17.42578125" customWidth="1"/>
    <col min="16" max="16" width="13.5703125" customWidth="1"/>
    <col min="17" max="18" width="12.42578125" customWidth="1"/>
    <col min="19" max="19" width="6.85546875" customWidth="1"/>
    <col min="20" max="22" width="15.5703125" customWidth="1"/>
    <col min="23" max="23" width="15.7109375" bestFit="1" customWidth="1"/>
    <col min="24" max="24" width="6.7109375" customWidth="1"/>
    <col min="25" max="25" width="14.7109375" bestFit="1" customWidth="1"/>
  </cols>
  <sheetData>
    <row r="1" spans="1:25" ht="15" x14ac:dyDescent="0.25">
      <c r="A1" s="4" t="s">
        <v>25</v>
      </c>
      <c r="B1" s="4" t="s">
        <v>13</v>
      </c>
      <c r="C1" s="4" t="s">
        <v>17</v>
      </c>
      <c r="M1" s="36"/>
      <c r="O1" s="4" t="s">
        <v>12</v>
      </c>
      <c r="P1" s="4" t="s">
        <v>13</v>
      </c>
      <c r="Q1" s="4" t="s">
        <v>18</v>
      </c>
      <c r="R1" s="5"/>
      <c r="S1" s="5"/>
      <c r="T1" s="5"/>
      <c r="U1" s="5"/>
      <c r="V1" s="5"/>
    </row>
    <row r="2" spans="1:25" ht="15.75" thickBot="1" x14ac:dyDescent="0.3">
      <c r="A2" s="88"/>
      <c r="B2" s="88"/>
      <c r="C2" s="59"/>
      <c r="D2" s="60"/>
      <c r="E2" s="87"/>
      <c r="F2" s="58"/>
      <c r="G2" s="58"/>
      <c r="H2" s="58"/>
      <c r="I2" s="58"/>
      <c r="J2" s="58"/>
      <c r="K2" s="58"/>
      <c r="M2" s="36"/>
      <c r="O2" s="6"/>
      <c r="P2" s="5"/>
      <c r="Q2" s="5"/>
      <c r="R2" s="5"/>
      <c r="S2" s="81"/>
      <c r="T2" s="81"/>
      <c r="U2" s="5"/>
      <c r="V2" s="5"/>
      <c r="W2" s="58"/>
      <c r="X2" s="58"/>
      <c r="Y2" s="58"/>
    </row>
    <row r="3" spans="1:25" ht="42" customHeight="1" thickBot="1" x14ac:dyDescent="0.25">
      <c r="A3" s="32" t="s">
        <v>6</v>
      </c>
      <c r="B3" s="32" t="s">
        <v>35</v>
      </c>
      <c r="C3" s="32" t="s">
        <v>43</v>
      </c>
      <c r="D3" s="110" t="s">
        <v>44</v>
      </c>
      <c r="E3" s="110"/>
      <c r="F3" s="32" t="s">
        <v>46</v>
      </c>
      <c r="G3" s="32" t="s">
        <v>47</v>
      </c>
      <c r="H3" s="61"/>
      <c r="I3" s="61"/>
      <c r="J3" s="61"/>
      <c r="K3" s="61"/>
      <c r="M3" s="36"/>
      <c r="O3" s="37" t="s">
        <v>19</v>
      </c>
      <c r="P3" s="37" t="s">
        <v>20</v>
      </c>
      <c r="Q3" s="100" t="s">
        <v>22</v>
      </c>
      <c r="R3" s="100"/>
      <c r="S3" s="100" t="s">
        <v>21</v>
      </c>
      <c r="T3" s="100"/>
      <c r="U3" s="109" t="s">
        <v>49</v>
      </c>
      <c r="V3" s="109"/>
      <c r="W3" s="109"/>
      <c r="X3" s="109"/>
      <c r="Y3" s="61"/>
    </row>
    <row r="4" spans="1:25" ht="15" thickBot="1" x14ac:dyDescent="0.25">
      <c r="A4" s="66">
        <v>394256.1</v>
      </c>
      <c r="B4" s="68">
        <v>43298</v>
      </c>
      <c r="C4" s="69">
        <v>1.314187</v>
      </c>
      <c r="D4" s="133">
        <v>300000</v>
      </c>
      <c r="E4" s="133"/>
      <c r="F4" s="69">
        <v>2.98</v>
      </c>
      <c r="G4" s="70">
        <v>1.94</v>
      </c>
      <c r="H4" s="58"/>
      <c r="I4" s="58"/>
      <c r="J4" s="58"/>
      <c r="K4" s="58"/>
      <c r="M4" s="36"/>
      <c r="O4" s="67">
        <v>1</v>
      </c>
      <c r="P4" s="67">
        <v>0</v>
      </c>
      <c r="Q4" s="101">
        <f>O4+P4</f>
        <v>1</v>
      </c>
      <c r="R4" s="101"/>
      <c r="S4" s="101">
        <v>0</v>
      </c>
      <c r="T4" s="101"/>
      <c r="U4" s="5"/>
      <c r="V4" s="5"/>
      <c r="W4" s="58"/>
      <c r="X4" s="58"/>
      <c r="Y4" s="58"/>
    </row>
    <row r="5" spans="1:25" x14ac:dyDescent="0.2">
      <c r="A5" s="8"/>
      <c r="B5" s="9"/>
      <c r="C5" s="10"/>
      <c r="D5" s="89"/>
      <c r="E5" s="9"/>
      <c r="F5" s="10"/>
      <c r="G5" s="64"/>
      <c r="H5" s="58"/>
      <c r="I5" s="58"/>
      <c r="J5" s="58"/>
      <c r="K5" s="58"/>
      <c r="M5" s="36"/>
      <c r="O5" s="8"/>
      <c r="P5" s="9"/>
      <c r="Q5" s="10"/>
      <c r="R5" s="9"/>
      <c r="S5" s="9"/>
      <c r="T5" s="10"/>
      <c r="U5" s="64"/>
      <c r="V5" s="58"/>
      <c r="W5" s="58"/>
      <c r="X5" s="58"/>
      <c r="Y5" s="58"/>
    </row>
    <row r="6" spans="1:25" ht="15" thickBot="1" x14ac:dyDescent="0.25">
      <c r="A6" s="78" t="s">
        <v>45</v>
      </c>
      <c r="B6" s="79"/>
      <c r="C6" s="80"/>
      <c r="D6" s="79"/>
      <c r="E6" s="79"/>
      <c r="F6" s="65"/>
      <c r="G6" s="65"/>
      <c r="H6" s="65"/>
      <c r="I6" s="65"/>
      <c r="J6" s="65"/>
      <c r="K6" s="65"/>
      <c r="M6" s="36"/>
      <c r="O6" s="18" t="s">
        <v>45</v>
      </c>
      <c r="P6" s="62"/>
      <c r="Q6" s="63"/>
      <c r="R6" s="62"/>
      <c r="S6" s="62"/>
      <c r="T6" s="58"/>
      <c r="U6" s="58"/>
      <c r="V6" s="58"/>
      <c r="W6" s="58"/>
      <c r="X6" s="65"/>
      <c r="Y6" s="65"/>
    </row>
    <row r="7" spans="1:25" ht="26.45" customHeight="1" x14ac:dyDescent="0.2">
      <c r="A7" s="134" t="s">
        <v>1</v>
      </c>
      <c r="B7" s="131" t="s">
        <v>2</v>
      </c>
      <c r="C7" s="131" t="s">
        <v>36</v>
      </c>
      <c r="D7" s="131" t="s">
        <v>37</v>
      </c>
      <c r="E7" s="131" t="s">
        <v>4</v>
      </c>
      <c r="F7" s="131" t="s">
        <v>8</v>
      </c>
      <c r="G7" s="131"/>
      <c r="H7" s="131"/>
      <c r="I7" s="131"/>
      <c r="J7" s="131" t="s">
        <v>40</v>
      </c>
      <c r="K7" s="132"/>
      <c r="M7" s="36"/>
      <c r="O7" s="120" t="s">
        <v>1</v>
      </c>
      <c r="P7" s="120" t="s">
        <v>2</v>
      </c>
      <c r="Q7" s="120" t="s">
        <v>36</v>
      </c>
      <c r="R7" s="120" t="s">
        <v>37</v>
      </c>
      <c r="S7" s="120" t="s">
        <v>4</v>
      </c>
      <c r="T7" s="128" t="s">
        <v>8</v>
      </c>
      <c r="U7" s="129"/>
      <c r="V7" s="129"/>
      <c r="W7" s="130"/>
      <c r="X7" s="128" t="s">
        <v>40</v>
      </c>
      <c r="Y7" s="129"/>
    </row>
    <row r="8" spans="1:25" ht="26.45" customHeight="1" thickBot="1" x14ac:dyDescent="0.25">
      <c r="A8" s="135"/>
      <c r="B8" s="136"/>
      <c r="C8" s="136"/>
      <c r="D8" s="136"/>
      <c r="E8" s="136"/>
      <c r="F8" s="33" t="s">
        <v>48</v>
      </c>
      <c r="G8" s="33" t="s">
        <v>41</v>
      </c>
      <c r="H8" s="33" t="s">
        <v>42</v>
      </c>
      <c r="I8" s="33" t="s">
        <v>5</v>
      </c>
      <c r="J8" s="34" t="s">
        <v>16</v>
      </c>
      <c r="K8" s="35" t="s">
        <v>5</v>
      </c>
      <c r="M8" s="36"/>
      <c r="O8" s="121"/>
      <c r="P8" s="121"/>
      <c r="Q8" s="121"/>
      <c r="R8" s="121"/>
      <c r="S8" s="121"/>
      <c r="T8" s="54" t="s">
        <v>48</v>
      </c>
      <c r="U8" s="54" t="s">
        <v>41</v>
      </c>
      <c r="V8" s="54" t="s">
        <v>42</v>
      </c>
      <c r="W8" s="54" t="s">
        <v>5</v>
      </c>
      <c r="X8" s="82" t="s">
        <v>16</v>
      </c>
      <c r="Y8" s="74" t="s">
        <v>5</v>
      </c>
    </row>
    <row r="9" spans="1:25" x14ac:dyDescent="0.2">
      <c r="A9" s="75"/>
      <c r="B9" s="20">
        <f>B4</f>
        <v>43298</v>
      </c>
      <c r="C9" s="20"/>
      <c r="D9" s="20"/>
      <c r="E9" s="22"/>
      <c r="F9" s="76"/>
      <c r="G9" s="76"/>
      <c r="H9" s="76"/>
      <c r="I9" s="77"/>
      <c r="J9" s="23"/>
      <c r="K9" s="77"/>
      <c r="M9" s="36"/>
      <c r="O9" s="71"/>
      <c r="P9" s="26">
        <f>B4</f>
        <v>43298</v>
      </c>
      <c r="Q9" s="26"/>
      <c r="R9" s="26"/>
      <c r="S9" s="27"/>
      <c r="T9" s="72"/>
      <c r="U9" s="72"/>
      <c r="V9" s="72"/>
      <c r="W9" s="73"/>
      <c r="X9" s="7"/>
      <c r="Y9" s="73"/>
    </row>
    <row r="10" spans="1:25" x14ac:dyDescent="0.2">
      <c r="A10" s="71">
        <f>D4</f>
        <v>300000</v>
      </c>
      <c r="B10" s="26">
        <f t="shared" ref="B10:B22" si="0">C10</f>
        <v>43326</v>
      </c>
      <c r="C10" s="26">
        <f>WORKDAY(EDATE(D10,1)-1,1,Feriados!$B$3:$B$626)</f>
        <v>43326</v>
      </c>
      <c r="D10" s="26">
        <v>43295</v>
      </c>
      <c r="E10" s="27">
        <f>NETWORKDAYS(IF(B9="",C9,B9),IF(B10&lt;&gt;"",WORKDAY(B10-1,1,Feriados!$B$3:$B$626),C10),Feriados!$B$3:$B$626)-1</f>
        <v>20</v>
      </c>
      <c r="F10" s="72">
        <f t="shared" ref="F10:F28" si="1">(1+$F$4/100)^(E10/252)</f>
        <v>1.0023332422775231</v>
      </c>
      <c r="G10" s="72">
        <f t="shared" ref="G10:G28" si="2">(1+$G$4/100)^(E10/252)</f>
        <v>1.0015261013190424</v>
      </c>
      <c r="H10" s="72">
        <f t="shared" ref="H10:H28" si="3">IF(B9="",H9*F10*G10,F10*G10)</f>
        <v>1.0038629043606828</v>
      </c>
      <c r="I10" s="73">
        <f t="shared" ref="I10:I28" si="4">IF(B10="",0,ROUND(A10*(H10-1),4))</f>
        <v>1158.8713</v>
      </c>
      <c r="J10" s="7"/>
      <c r="K10" s="73"/>
      <c r="M10" s="36"/>
      <c r="O10" s="71">
        <f>D4</f>
        <v>300000</v>
      </c>
      <c r="P10" s="26">
        <f t="shared" ref="P10" si="5">Q10</f>
        <v>43326</v>
      </c>
      <c r="Q10" s="26">
        <f>WORKDAY(EDATE(R10,1)-1,1,Feriados!$B$3:$B$626)</f>
        <v>43326</v>
      </c>
      <c r="R10" s="26">
        <v>43295</v>
      </c>
      <c r="S10" s="27">
        <f>NETWORKDAYS(IF(P9="",Q9,P9),IF(P10&lt;&gt;"",WORKDAY(P10-1,1,Feriados!$B$3:$B$626),Q10),Feriados!$B$3:$B$626)-1</f>
        <v>20</v>
      </c>
      <c r="T10" s="72">
        <f t="shared" ref="T10:T29" si="6">(1+$F$4/100)^(S10/252)</f>
        <v>1.0023332422775231</v>
      </c>
      <c r="U10" s="72">
        <f t="shared" ref="U10:U29" si="7">(1+$G$4/100)^(S10/252)</f>
        <v>1.0015261013190424</v>
      </c>
      <c r="V10" s="72">
        <f t="shared" ref="V10:V29" si="8">IF(P9="",V9*T10*U10,T10*U10)</f>
        <v>1.0038629043606828</v>
      </c>
      <c r="W10" s="73">
        <f t="shared" ref="W10:W22" si="9">IF(P10="",0,ROUND(O10*(V10-1),4))</f>
        <v>1158.8713</v>
      </c>
      <c r="X10" s="7"/>
      <c r="Y10" s="73"/>
    </row>
    <row r="11" spans="1:25" x14ac:dyDescent="0.2">
      <c r="A11" s="71">
        <f t="shared" ref="A11:A28" si="10">+A10-K10</f>
        <v>300000</v>
      </c>
      <c r="B11" s="26"/>
      <c r="C11" s="26">
        <f>WORKDAY(EDATE(D11,1)-1,1,Feriados!$B$3:$B$626)</f>
        <v>43357</v>
      </c>
      <c r="D11" s="26">
        <f t="shared" ref="D11:D28" si="11">EDATE(D10,1)</f>
        <v>43326</v>
      </c>
      <c r="E11" s="27">
        <f>NETWORKDAYS(IF(B10="",C10,B10),IF(B11&lt;&gt;"",WORKDAY(B11-1,1,Feriados!$B$3:$B$626),C11),Feriados!$B$3:$B$626)-1</f>
        <v>22</v>
      </c>
      <c r="F11" s="72">
        <f t="shared" si="1"/>
        <v>1.0025668657169946</v>
      </c>
      <c r="G11" s="72">
        <f t="shared" si="2"/>
        <v>1.0016788394865317</v>
      </c>
      <c r="H11" s="72">
        <f t="shared" si="3"/>
        <v>1.0042500145590487</v>
      </c>
      <c r="I11" s="73">
        <f t="shared" si="4"/>
        <v>0</v>
      </c>
      <c r="J11" s="7"/>
      <c r="K11" s="73"/>
      <c r="M11" s="36"/>
      <c r="O11" s="71">
        <f t="shared" ref="O11:O17" si="12">+O10-Y10</f>
        <v>300000</v>
      </c>
      <c r="P11" s="26"/>
      <c r="Q11" s="26">
        <f>WORKDAY(EDATE(R11,1)-1,1,Feriados!$B$3:$B$626)</f>
        <v>43357</v>
      </c>
      <c r="R11" s="26">
        <f t="shared" ref="R11:R29" si="13">EDATE(R10,1)</f>
        <v>43326</v>
      </c>
      <c r="S11" s="27">
        <f>NETWORKDAYS(IF(P10="",Q10,P10),IF(P11&lt;&gt;"",WORKDAY(P11-1,1,Feriados!$B$3:$B$626),Q11),Feriados!$B$3:$B$626)-1</f>
        <v>22</v>
      </c>
      <c r="T11" s="72">
        <f t="shared" si="6"/>
        <v>1.0025668657169946</v>
      </c>
      <c r="U11" s="72">
        <f t="shared" si="7"/>
        <v>1.0016788394865317</v>
      </c>
      <c r="V11" s="72">
        <f t="shared" si="8"/>
        <v>1.0042500145590487</v>
      </c>
      <c r="W11" s="73">
        <f t="shared" si="9"/>
        <v>0</v>
      </c>
      <c r="X11" s="7"/>
      <c r="Y11" s="73"/>
    </row>
    <row r="12" spans="1:25" x14ac:dyDescent="0.2">
      <c r="A12" s="71">
        <f t="shared" si="10"/>
        <v>300000</v>
      </c>
      <c r="B12" s="26"/>
      <c r="C12" s="26">
        <f>WORKDAY(EDATE(D12,1)-1,1,Feriados!$B$3:$B$626)</f>
        <v>43389</v>
      </c>
      <c r="D12" s="26">
        <f t="shared" si="11"/>
        <v>43357</v>
      </c>
      <c r="E12" s="27">
        <f>NETWORKDAYS(IF(B11="",C11,B11),IF(B12&lt;&gt;"",WORKDAY(B12-1,1,Feriados!$B$3:$B$626),C12),Feriados!$B$3:$B$626)-1</f>
        <v>21</v>
      </c>
      <c r="F12" s="72">
        <f t="shared" si="1"/>
        <v>1.0024500471914444</v>
      </c>
      <c r="G12" s="72">
        <f t="shared" si="2"/>
        <v>1.001602467491334</v>
      </c>
      <c r="H12" s="72">
        <f t="shared" si="3"/>
        <v>1.0083236952952774</v>
      </c>
      <c r="I12" s="73">
        <f t="shared" si="4"/>
        <v>0</v>
      </c>
      <c r="J12" s="7"/>
      <c r="K12" s="73"/>
      <c r="M12" s="36"/>
      <c r="O12" s="71">
        <f t="shared" si="12"/>
        <v>300000</v>
      </c>
      <c r="P12" s="26"/>
      <c r="Q12" s="26">
        <f>WORKDAY(EDATE(R12,1)-1,1,Feriados!$B$3:$B$626)</f>
        <v>43389</v>
      </c>
      <c r="R12" s="26">
        <f t="shared" si="13"/>
        <v>43357</v>
      </c>
      <c r="S12" s="27">
        <f>NETWORKDAYS(IF(P11="",Q11,P11),IF(P12&lt;&gt;"",WORKDAY(P12-1,1,Feriados!$B$3:$B$626),Q12),Feriados!$B$3:$B$626)-1</f>
        <v>21</v>
      </c>
      <c r="T12" s="72">
        <f t="shared" si="6"/>
        <v>1.0024500471914444</v>
      </c>
      <c r="U12" s="72">
        <f t="shared" si="7"/>
        <v>1.001602467491334</v>
      </c>
      <c r="V12" s="72">
        <f t="shared" si="8"/>
        <v>1.0083236952952774</v>
      </c>
      <c r="W12" s="73">
        <f t="shared" si="9"/>
        <v>0</v>
      </c>
      <c r="X12" s="7"/>
      <c r="Y12" s="73"/>
    </row>
    <row r="13" spans="1:25" x14ac:dyDescent="0.2">
      <c r="A13" s="71">
        <f t="shared" si="10"/>
        <v>300000</v>
      </c>
      <c r="B13" s="26"/>
      <c r="C13" s="26">
        <f>WORKDAY(EDATE(D13,1)-1,1,Feriados!$B$3:$B$626)</f>
        <v>43419</v>
      </c>
      <c r="D13" s="26">
        <f t="shared" si="11"/>
        <v>43387</v>
      </c>
      <c r="E13" s="27">
        <f>NETWORKDAYS(IF(B12="",C12,B12),IF(B13&lt;&gt;"",WORKDAY(B13-1,1,Feriados!$B$3:$B$626),C13),Feriados!$B$3:$B$626)-1</f>
        <v>20</v>
      </c>
      <c r="F13" s="72">
        <f t="shared" si="1"/>
        <v>1.0023332422775231</v>
      </c>
      <c r="G13" s="72">
        <f t="shared" si="2"/>
        <v>1.0015261013190424</v>
      </c>
      <c r="H13" s="72">
        <f t="shared" si="3"/>
        <v>1.0122187532948135</v>
      </c>
      <c r="I13" s="73">
        <f t="shared" si="4"/>
        <v>0</v>
      </c>
      <c r="J13" s="7"/>
      <c r="K13" s="73"/>
      <c r="M13" s="36"/>
      <c r="O13" s="71">
        <f t="shared" si="12"/>
        <v>300000</v>
      </c>
      <c r="P13" s="26"/>
      <c r="Q13" s="26">
        <f>WORKDAY(EDATE(R13,1)-1,1,Feriados!$B$3:$B$626)</f>
        <v>43419</v>
      </c>
      <c r="R13" s="26">
        <f t="shared" si="13"/>
        <v>43387</v>
      </c>
      <c r="S13" s="27">
        <f>NETWORKDAYS(IF(P12="",Q12,P12),IF(P13&lt;&gt;"",WORKDAY(P13-1,1,Feriados!$B$3:$B$626),Q13),Feriados!$B$3:$B$626)-1</f>
        <v>20</v>
      </c>
      <c r="T13" s="72">
        <f t="shared" si="6"/>
        <v>1.0023332422775231</v>
      </c>
      <c r="U13" s="72">
        <f t="shared" si="7"/>
        <v>1.0015261013190424</v>
      </c>
      <c r="V13" s="72">
        <f t="shared" si="8"/>
        <v>1.0122187532948135</v>
      </c>
      <c r="W13" s="73">
        <f t="shared" si="9"/>
        <v>0</v>
      </c>
      <c r="X13" s="7"/>
      <c r="Y13" s="73"/>
    </row>
    <row r="14" spans="1:25" x14ac:dyDescent="0.2">
      <c r="A14" s="71">
        <f t="shared" si="10"/>
        <v>300000</v>
      </c>
      <c r="B14" s="26"/>
      <c r="C14" s="26">
        <f>WORKDAY(EDATE(D14,1)-1,1,Feriados!$B$3:$B$626)</f>
        <v>43448</v>
      </c>
      <c r="D14" s="26">
        <f t="shared" si="11"/>
        <v>43418</v>
      </c>
      <c r="E14" s="27">
        <f>NETWORKDAYS(IF(B13="",C13,B13),IF(B14&lt;&gt;"",WORKDAY(B14-1,1,Feriados!$B$3:$B$626),C14),Feriados!$B$3:$B$626)-1</f>
        <v>21</v>
      </c>
      <c r="F14" s="72">
        <f t="shared" si="1"/>
        <v>1.0024500471914444</v>
      </c>
      <c r="G14" s="72">
        <f t="shared" si="2"/>
        <v>1.001602467491334</v>
      </c>
      <c r="H14" s="72">
        <f t="shared" si="3"/>
        <v>1.0163247587480044</v>
      </c>
      <c r="I14" s="73">
        <f t="shared" si="4"/>
        <v>0</v>
      </c>
      <c r="J14" s="7"/>
      <c r="K14" s="73"/>
      <c r="M14" s="36"/>
      <c r="O14" s="71">
        <f t="shared" si="12"/>
        <v>300000</v>
      </c>
      <c r="P14" s="26"/>
      <c r="Q14" s="26">
        <f>WORKDAY(EDATE(R14,1)-1,1,Feriados!$B$3:$B$626)</f>
        <v>43448</v>
      </c>
      <c r="R14" s="26">
        <f t="shared" si="13"/>
        <v>43418</v>
      </c>
      <c r="S14" s="27">
        <f>NETWORKDAYS(IF(P13="",Q13,P13),IF(P14&lt;&gt;"",WORKDAY(P14-1,1,Feriados!$B$3:$B$626),Q14),Feriados!$B$3:$B$626)-1</f>
        <v>21</v>
      </c>
      <c r="T14" s="72">
        <f t="shared" si="6"/>
        <v>1.0024500471914444</v>
      </c>
      <c r="U14" s="72">
        <f t="shared" si="7"/>
        <v>1.001602467491334</v>
      </c>
      <c r="V14" s="72">
        <f t="shared" si="8"/>
        <v>1.0163247587480044</v>
      </c>
      <c r="W14" s="73">
        <f t="shared" si="9"/>
        <v>0</v>
      </c>
      <c r="X14" s="7"/>
      <c r="Y14" s="73"/>
    </row>
    <row r="15" spans="1:25" x14ac:dyDescent="0.2">
      <c r="A15" s="71">
        <f t="shared" si="10"/>
        <v>300000</v>
      </c>
      <c r="B15" s="26"/>
      <c r="C15" s="26">
        <f>WORKDAY(EDATE(D15,1)-1,1,Feriados!$B$3:$B$626)</f>
        <v>43480</v>
      </c>
      <c r="D15" s="26">
        <f t="shared" si="11"/>
        <v>43448</v>
      </c>
      <c r="E15" s="27">
        <f>NETWORKDAYS(IF(B14="",C14,B14),IF(B15&lt;&gt;"",WORKDAY(B15-1,1,Feriados!$B$3:$B$626),C15),Feriados!$B$3:$B$626)-1</f>
        <v>22</v>
      </c>
      <c r="F15" s="72">
        <f t="shared" si="1"/>
        <v>1.0025668657169946</v>
      </c>
      <c r="G15" s="72">
        <f t="shared" si="2"/>
        <v>1.0016788394865317</v>
      </c>
      <c r="H15" s="72">
        <f t="shared" si="3"/>
        <v>1.0206441537694049</v>
      </c>
      <c r="I15" s="73">
        <f t="shared" si="4"/>
        <v>0</v>
      </c>
      <c r="J15" s="7"/>
      <c r="K15" s="73"/>
      <c r="M15" s="36"/>
      <c r="O15" s="71">
        <f t="shared" si="12"/>
        <v>300000</v>
      </c>
      <c r="P15" s="26"/>
      <c r="Q15" s="26">
        <f>WORKDAY(EDATE(R15,1)-1,1,Feriados!$B$3:$B$626)</f>
        <v>43480</v>
      </c>
      <c r="R15" s="26">
        <f t="shared" si="13"/>
        <v>43448</v>
      </c>
      <c r="S15" s="27">
        <f>NETWORKDAYS(IF(P14="",Q14,P14),IF(P15&lt;&gt;"",WORKDAY(P15-1,1,Feriados!$B$3:$B$626),Q15),Feriados!$B$3:$B$626)-1</f>
        <v>22</v>
      </c>
      <c r="T15" s="72">
        <f t="shared" si="6"/>
        <v>1.0025668657169946</v>
      </c>
      <c r="U15" s="72">
        <f t="shared" si="7"/>
        <v>1.0016788394865317</v>
      </c>
      <c r="V15" s="72">
        <f t="shared" si="8"/>
        <v>1.0206441537694049</v>
      </c>
      <c r="W15" s="73">
        <f t="shared" si="9"/>
        <v>0</v>
      </c>
      <c r="X15" s="7"/>
      <c r="Y15" s="73"/>
    </row>
    <row r="16" spans="1:25" x14ac:dyDescent="0.2">
      <c r="A16" s="71">
        <f t="shared" si="10"/>
        <v>300000</v>
      </c>
      <c r="B16" s="26">
        <f t="shared" si="0"/>
        <v>43510</v>
      </c>
      <c r="C16" s="26">
        <f>WORKDAY(EDATE(D16,1)-1,1,Feriados!$B$3:$B$626)</f>
        <v>43510</v>
      </c>
      <c r="D16" s="26">
        <f t="shared" si="11"/>
        <v>43479</v>
      </c>
      <c r="E16" s="27">
        <f>NETWORKDAYS(IF(B15="",C15,B15),IF(B16&lt;&gt;"",WORKDAY(B16-1,1,Feriados!$B$3:$B$626),C16),Feriados!$B$3:$B$626)-1</f>
        <v>22</v>
      </c>
      <c r="F16" s="72">
        <f t="shared" si="1"/>
        <v>1.0025668657169946</v>
      </c>
      <c r="G16" s="72">
        <f t="shared" si="2"/>
        <v>1.0016788394865317</v>
      </c>
      <c r="H16" s="72">
        <f t="shared" si="3"/>
        <v>1.0249819062825327</v>
      </c>
      <c r="I16" s="73">
        <f t="shared" si="4"/>
        <v>7494.5718999999999</v>
      </c>
      <c r="J16" s="7">
        <v>6</v>
      </c>
      <c r="K16" s="73">
        <f>TRUNC(A16/J16,4)</f>
        <v>50000</v>
      </c>
      <c r="M16" s="36"/>
      <c r="O16" s="71">
        <f t="shared" si="12"/>
        <v>300000</v>
      </c>
      <c r="P16" s="26">
        <f t="shared" ref="P16" si="14">Q16</f>
        <v>43510</v>
      </c>
      <c r="Q16" s="26">
        <f>WORKDAY(EDATE(R16,1)-1,1,Feriados!$B$3:$B$626)</f>
        <v>43510</v>
      </c>
      <c r="R16" s="26">
        <f t="shared" si="13"/>
        <v>43479</v>
      </c>
      <c r="S16" s="27">
        <f>NETWORKDAYS(IF(P15="",Q15,P15),IF(P16&lt;&gt;"",WORKDAY(P16-1,1,Feriados!$B$3:$B$626),Q16),Feriados!$B$3:$B$626)-1</f>
        <v>22</v>
      </c>
      <c r="T16" s="72">
        <f t="shared" si="6"/>
        <v>1.0025668657169946</v>
      </c>
      <c r="U16" s="72">
        <f t="shared" si="7"/>
        <v>1.0016788394865317</v>
      </c>
      <c r="V16" s="72">
        <f t="shared" si="8"/>
        <v>1.0249819062825327</v>
      </c>
      <c r="W16" s="73">
        <f t="shared" si="9"/>
        <v>7494.5718999999999</v>
      </c>
      <c r="X16" s="7">
        <v>6</v>
      </c>
      <c r="Y16" s="73">
        <f>TRUNC(O16/X16,4)</f>
        <v>50000</v>
      </c>
    </row>
    <row r="17" spans="1:25" x14ac:dyDescent="0.2">
      <c r="A17" s="71">
        <f t="shared" si="10"/>
        <v>250000</v>
      </c>
      <c r="B17" s="26"/>
      <c r="C17" s="26">
        <f>WORKDAY(EDATE(D17,1)-1,1,Feriados!$B$3:$B$626)</f>
        <v>43538</v>
      </c>
      <c r="D17" s="26">
        <f t="shared" si="11"/>
        <v>43510</v>
      </c>
      <c r="E17" s="27">
        <f>NETWORKDAYS(IF(B16="",C16,B16),IF(B17&lt;&gt;"",WORKDAY(B17-1,1,Feriados!$B$3:$B$626),C17),Feriados!$B$3:$B$626)-1</f>
        <v>18</v>
      </c>
      <c r="F17" s="72">
        <f t="shared" si="1"/>
        <v>1.0020996732782224</v>
      </c>
      <c r="G17" s="72">
        <f t="shared" si="2"/>
        <v>1.0013733864414009</v>
      </c>
      <c r="H17" s="72">
        <f t="shared" si="3"/>
        <v>1.003475943382435</v>
      </c>
      <c r="I17" s="73">
        <f t="shared" si="4"/>
        <v>0</v>
      </c>
      <c r="J17" s="7"/>
      <c r="K17" s="73"/>
      <c r="M17" s="36"/>
      <c r="O17" s="71">
        <f t="shared" si="12"/>
        <v>250000</v>
      </c>
      <c r="P17" s="26">
        <v>43523</v>
      </c>
      <c r="Q17" s="26">
        <f>WORKDAY(EDATE(R17,1)-1,1,Feriados!$B$3:$B$626)</f>
        <v>43538</v>
      </c>
      <c r="R17" s="26">
        <f t="shared" si="13"/>
        <v>43510</v>
      </c>
      <c r="S17" s="27">
        <f>NETWORKDAYS(IF(P16="",Q16,P16),IF(P17&lt;&gt;"",WORKDAY(P17-1,1,Feriados!$B$3:$B$626),Q17),Feriados!$B$3:$B$626)-1</f>
        <v>7</v>
      </c>
      <c r="T17" s="72">
        <f t="shared" si="6"/>
        <v>1.0008160163333681</v>
      </c>
      <c r="U17" s="72">
        <f t="shared" si="7"/>
        <v>1.0005338707617335</v>
      </c>
      <c r="V17" s="72">
        <f t="shared" si="8"/>
        <v>1.001350322742363</v>
      </c>
      <c r="W17" s="83">
        <f t="shared" si="9"/>
        <v>337.58069999999998</v>
      </c>
      <c r="X17" s="7" t="s">
        <v>24</v>
      </c>
      <c r="Y17" s="85">
        <f>Y16+W16</f>
        <v>57494.571900000003</v>
      </c>
    </row>
    <row r="18" spans="1:25" x14ac:dyDescent="0.2">
      <c r="A18" s="71">
        <f t="shared" si="10"/>
        <v>250000</v>
      </c>
      <c r="B18" s="26"/>
      <c r="C18" s="26">
        <f>WORKDAY(EDATE(D18,1)-1,1,Feriados!$B$3:$B$626)</f>
        <v>43571</v>
      </c>
      <c r="D18" s="26">
        <f t="shared" si="11"/>
        <v>43538</v>
      </c>
      <c r="E18" s="27">
        <f>NETWORKDAYS(IF(B17="",C17,B17),IF(B18&lt;&gt;"",WORKDAY(B18-1,1,Feriados!$B$3:$B$626),C18),Feriados!$B$3:$B$626)-1</f>
        <v>22</v>
      </c>
      <c r="F18" s="72">
        <f t="shared" si="1"/>
        <v>1.0025668657169946</v>
      </c>
      <c r="G18" s="72">
        <f t="shared" si="2"/>
        <v>1.0016788394865317</v>
      </c>
      <c r="H18" s="72">
        <f t="shared" si="3"/>
        <v>1.0077407307514654</v>
      </c>
      <c r="I18" s="73">
        <f t="shared" si="4"/>
        <v>0</v>
      </c>
      <c r="J18" s="7"/>
      <c r="K18" s="73"/>
      <c r="M18" s="36"/>
      <c r="O18" s="86">
        <f>+O17+Y17</f>
        <v>307494.57189999998</v>
      </c>
      <c r="P18" s="26"/>
      <c r="Q18" s="26">
        <f>WORKDAY(EDATE(R18,1)-1,1,Feriados!$B$3:$B$626)</f>
        <v>43538</v>
      </c>
      <c r="R18" s="26">
        <v>43510</v>
      </c>
      <c r="S18" s="27">
        <f>NETWORKDAYS(IF(P17="",Q17,P17),IF(P18&lt;&gt;"",WORKDAY(P18-1,1,Feriados!$B$3:$B$626),Q18),Feriados!$B$3:$B$626)-1</f>
        <v>11</v>
      </c>
      <c r="T18" s="72">
        <f t="shared" si="6"/>
        <v>1.0012826103138885</v>
      </c>
      <c r="U18" s="72">
        <f t="shared" si="7"/>
        <v>1.0008390677259413</v>
      </c>
      <c r="V18" s="72">
        <f t="shared" si="8"/>
        <v>1.0021227542367492</v>
      </c>
      <c r="W18" s="73">
        <f t="shared" si="9"/>
        <v>0</v>
      </c>
      <c r="X18" s="7"/>
      <c r="Y18" s="73"/>
    </row>
    <row r="19" spans="1:25" x14ac:dyDescent="0.2">
      <c r="A19" s="71">
        <f t="shared" si="10"/>
        <v>250000</v>
      </c>
      <c r="B19" s="26"/>
      <c r="C19" s="26">
        <f>WORKDAY(EDATE(D19,1)-1,1,Feriados!$B$3:$B$626)</f>
        <v>43599</v>
      </c>
      <c r="D19" s="26">
        <f t="shared" si="11"/>
        <v>43569</v>
      </c>
      <c r="E19" s="27">
        <f>NETWORKDAYS(IF(B18="",C18,B18),IF(B19&lt;&gt;"",WORKDAY(B19-1,1,Feriados!$B$3:$B$626),C19),Feriados!$B$3:$B$626)-1</f>
        <v>18</v>
      </c>
      <c r="F19" s="72">
        <f t="shared" si="1"/>
        <v>1.0020996732782224</v>
      </c>
      <c r="G19" s="72">
        <f t="shared" si="2"/>
        <v>1.0013733864414009</v>
      </c>
      <c r="H19" s="72">
        <f t="shared" si="3"/>
        <v>1.0112435804757312</v>
      </c>
      <c r="I19" s="73">
        <f t="shared" si="4"/>
        <v>0</v>
      </c>
      <c r="J19" s="7"/>
      <c r="K19" s="73"/>
      <c r="M19" s="36"/>
      <c r="O19" s="71">
        <f t="shared" ref="O19:O29" si="15">+O18-Y18</f>
        <v>307494.57189999998</v>
      </c>
      <c r="P19" s="26"/>
      <c r="Q19" s="26">
        <f>WORKDAY(EDATE(R19,1)-1,1,Feriados!$B$3:$B$626)</f>
        <v>43571</v>
      </c>
      <c r="R19" s="26">
        <f t="shared" si="13"/>
        <v>43538</v>
      </c>
      <c r="S19" s="27">
        <f>NETWORKDAYS(IF(P18="",Q18,P18),IF(P19&lt;&gt;"",WORKDAY(P19-1,1,Feriados!$B$3:$B$626),Q19),Feriados!$B$3:$B$626)-1</f>
        <v>22</v>
      </c>
      <c r="T19" s="72">
        <f t="shared" si="6"/>
        <v>1.0025668657169946</v>
      </c>
      <c r="U19" s="72">
        <f t="shared" si="7"/>
        <v>1.0016788394865317</v>
      </c>
      <c r="V19" s="72">
        <f t="shared" si="8"/>
        <v>1.0063817905322094</v>
      </c>
      <c r="W19" s="73">
        <f t="shared" si="9"/>
        <v>0</v>
      </c>
      <c r="X19" s="7"/>
      <c r="Y19" s="73"/>
    </row>
    <row r="20" spans="1:25" x14ac:dyDescent="0.2">
      <c r="A20" s="71">
        <f t="shared" si="10"/>
        <v>250000</v>
      </c>
      <c r="B20" s="26"/>
      <c r="C20" s="26">
        <f>WORKDAY(EDATE(D20,1)-1,1,Feriados!$B$3:$B$626)</f>
        <v>43630</v>
      </c>
      <c r="D20" s="26">
        <f t="shared" si="11"/>
        <v>43599</v>
      </c>
      <c r="E20" s="27">
        <f>NETWORKDAYS(IF(B19="",C19,B19),IF(B20&lt;&gt;"",WORKDAY(B20-1,1,Feriados!$B$3:$B$626),C20),Feriados!$B$3:$B$626)-1</f>
        <v>22</v>
      </c>
      <c r="F20" s="72">
        <f t="shared" si="1"/>
        <v>1.0025668657169946</v>
      </c>
      <c r="G20" s="72">
        <f t="shared" si="2"/>
        <v>1.0016788394865317</v>
      </c>
      <c r="H20" s="72">
        <f t="shared" si="3"/>
        <v>1.0155413804154976</v>
      </c>
      <c r="I20" s="73">
        <f t="shared" si="4"/>
        <v>0</v>
      </c>
      <c r="J20" s="7"/>
      <c r="K20" s="73"/>
      <c r="M20" s="36"/>
      <c r="O20" s="71">
        <f t="shared" si="15"/>
        <v>307494.57189999998</v>
      </c>
      <c r="P20" s="26"/>
      <c r="Q20" s="26">
        <f>WORKDAY(EDATE(R20,1)-1,1,Feriados!$B$3:$B$626)</f>
        <v>43599</v>
      </c>
      <c r="R20" s="26">
        <f t="shared" si="13"/>
        <v>43569</v>
      </c>
      <c r="S20" s="27">
        <f>NETWORKDAYS(IF(P19="",Q19,P19),IF(P20&lt;&gt;"",WORKDAY(P20-1,1,Feriados!$B$3:$B$626),Q20),Feriados!$B$3:$B$626)-1</f>
        <v>18</v>
      </c>
      <c r="T20" s="72">
        <f t="shared" si="6"/>
        <v>1.0020996732782224</v>
      </c>
      <c r="U20" s="72">
        <f t="shared" si="7"/>
        <v>1.0013733864414009</v>
      </c>
      <c r="V20" s="72">
        <f t="shared" si="8"/>
        <v>1.009879916657213</v>
      </c>
      <c r="W20" s="73">
        <f t="shared" si="9"/>
        <v>0</v>
      </c>
      <c r="X20" s="7"/>
      <c r="Y20" s="73"/>
    </row>
    <row r="21" spans="1:25" x14ac:dyDescent="0.2">
      <c r="A21" s="71">
        <f t="shared" si="10"/>
        <v>250000</v>
      </c>
      <c r="B21" s="26"/>
      <c r="C21" s="26">
        <f>WORKDAY(EDATE(D21,1)-1,1,Feriados!$B$3:$B$626)</f>
        <v>43662</v>
      </c>
      <c r="D21" s="26">
        <f t="shared" si="11"/>
        <v>43630</v>
      </c>
      <c r="E21" s="27">
        <f>NETWORKDAYS(IF(B20="",C20,B20),IF(B21&lt;&gt;"",WORKDAY(B21-1,1,Feriados!$B$3:$B$626),C21),Feriados!$B$3:$B$626)-1</f>
        <v>22</v>
      </c>
      <c r="F21" s="72">
        <f t="shared" si="1"/>
        <v>1.0025668657169946</v>
      </c>
      <c r="G21" s="72">
        <f t="shared" si="2"/>
        <v>1.0016788394865317</v>
      </c>
      <c r="H21" s="72">
        <f t="shared" si="3"/>
        <v>1.0198574460675798</v>
      </c>
      <c r="I21" s="73">
        <f t="shared" si="4"/>
        <v>0</v>
      </c>
      <c r="J21" s="7"/>
      <c r="K21" s="73"/>
      <c r="M21" s="36"/>
      <c r="O21" s="71">
        <f t="shared" si="15"/>
        <v>307494.57189999998</v>
      </c>
      <c r="P21" s="26"/>
      <c r="Q21" s="26">
        <f>WORKDAY(EDATE(R21,1)-1,1,Feriados!$B$3:$B$626)</f>
        <v>43630</v>
      </c>
      <c r="R21" s="26">
        <f t="shared" si="13"/>
        <v>43599</v>
      </c>
      <c r="S21" s="27">
        <f>NETWORKDAYS(IF(P20="",Q20,P20),IF(P21&lt;&gt;"",WORKDAY(P21-1,1,Feriados!$B$3:$B$626),Q21),Feriados!$B$3:$B$626)-1</f>
        <v>22</v>
      </c>
      <c r="T21" s="72">
        <f t="shared" si="6"/>
        <v>1.0025668657169946</v>
      </c>
      <c r="U21" s="72">
        <f t="shared" si="7"/>
        <v>1.0016788394865317</v>
      </c>
      <c r="V21" s="72">
        <f t="shared" si="8"/>
        <v>1.0141719210058968</v>
      </c>
      <c r="W21" s="73">
        <f t="shared" si="9"/>
        <v>0</v>
      </c>
      <c r="X21" s="7"/>
      <c r="Y21" s="73"/>
    </row>
    <row r="22" spans="1:25" x14ac:dyDescent="0.2">
      <c r="A22" s="71">
        <f t="shared" si="10"/>
        <v>250000</v>
      </c>
      <c r="B22" s="26">
        <f t="shared" si="0"/>
        <v>43691</v>
      </c>
      <c r="C22" s="26">
        <f>WORKDAY(EDATE(D22,1)-1,1,Feriados!$B$3:$B$626)</f>
        <v>43691</v>
      </c>
      <c r="D22" s="26">
        <f t="shared" si="11"/>
        <v>43660</v>
      </c>
      <c r="E22" s="27">
        <f>NETWORKDAYS(IF(B21="",C21,B21),IF(B22&lt;&gt;"",WORKDAY(B22-1,1,Feriados!$B$3:$B$626),C22),Feriados!$B$3:$B$626)-1</f>
        <v>21</v>
      </c>
      <c r="F22" s="72">
        <f t="shared" si="1"/>
        <v>1.0024500471914444</v>
      </c>
      <c r="G22" s="72">
        <f t="shared" si="2"/>
        <v>1.001602467491334</v>
      </c>
      <c r="H22" s="72">
        <f t="shared" si="3"/>
        <v>1.0239944374258216</v>
      </c>
      <c r="I22" s="73">
        <f t="shared" si="4"/>
        <v>5998.6094000000003</v>
      </c>
      <c r="J22" s="7">
        <v>5</v>
      </c>
      <c r="K22" s="73">
        <f>TRUNC(A22/J22,4)</f>
        <v>50000</v>
      </c>
      <c r="M22" s="36"/>
      <c r="O22" s="71">
        <f t="shared" si="15"/>
        <v>307494.57189999998</v>
      </c>
      <c r="P22" s="26"/>
      <c r="Q22" s="26">
        <f>WORKDAY(EDATE(R22,1)-1,1,Feriados!$B$3:$B$626)</f>
        <v>43662</v>
      </c>
      <c r="R22" s="26">
        <f t="shared" si="13"/>
        <v>43630</v>
      </c>
      <c r="S22" s="27">
        <f>NETWORKDAYS(IF(P21="",Q21,P21),IF(P22&lt;&gt;"",WORKDAY(P22-1,1,Feriados!$B$3:$B$626),Q22),Feriados!$B$3:$B$626)-1</f>
        <v>22</v>
      </c>
      <c r="T22" s="72">
        <f t="shared" si="6"/>
        <v>1.0025668657169946</v>
      </c>
      <c r="U22" s="72">
        <f t="shared" si="7"/>
        <v>1.0016788394865317</v>
      </c>
      <c r="V22" s="72">
        <f t="shared" si="8"/>
        <v>1.0184821664355501</v>
      </c>
      <c r="W22" s="73">
        <f t="shared" si="9"/>
        <v>0</v>
      </c>
      <c r="X22" s="7"/>
      <c r="Y22" s="73"/>
    </row>
    <row r="23" spans="1:25" x14ac:dyDescent="0.2">
      <c r="A23" s="71">
        <f t="shared" si="10"/>
        <v>200000</v>
      </c>
      <c r="B23" s="26"/>
      <c r="C23" s="26">
        <f>WORKDAY(EDATE(D23,1)-1,1,Feriados!$B$3:$B$626)</f>
        <v>43722</v>
      </c>
      <c r="D23" s="26">
        <f t="shared" si="11"/>
        <v>43691</v>
      </c>
      <c r="E23" s="27">
        <f>NETWORKDAYS(IF(B22="",C22,B22),IF(B23&lt;&gt;"",WORKDAY(B23-1,1,Feriados!$B$3:$B$626),C23),Feriados!$B$3:$B$626)-1</f>
        <v>22</v>
      </c>
      <c r="F23" s="72">
        <f t="shared" si="1"/>
        <v>1.0025668657169946</v>
      </c>
      <c r="G23" s="72">
        <f t="shared" si="2"/>
        <v>1.0016788394865317</v>
      </c>
      <c r="H23" s="72">
        <f t="shared" si="3"/>
        <v>1.0042500145590487</v>
      </c>
      <c r="I23" s="73">
        <f t="shared" si="4"/>
        <v>0</v>
      </c>
      <c r="J23" s="7"/>
      <c r="K23" s="73"/>
      <c r="M23" s="36"/>
      <c r="O23" s="71">
        <f t="shared" si="15"/>
        <v>307494.57189999998</v>
      </c>
      <c r="P23" s="26">
        <f>Q23</f>
        <v>43691</v>
      </c>
      <c r="Q23" s="26">
        <f>WORKDAY(EDATE(R23,1)-1,1,Feriados!$B$3:$B$626)</f>
        <v>43691</v>
      </c>
      <c r="R23" s="26">
        <f t="shared" si="13"/>
        <v>43660</v>
      </c>
      <c r="S23" s="27">
        <f>NETWORKDAYS(IF(P22="",Q22,P22),IF(P23&lt;&gt;"",WORKDAY(P23-1,1,Feriados!$B$3:$B$626),Q23),Feriados!$B$3:$B$626)-1</f>
        <v>21</v>
      </c>
      <c r="T23" s="72">
        <f t="shared" si="6"/>
        <v>1.0024500471914444</v>
      </c>
      <c r="U23" s="72">
        <f t="shared" si="7"/>
        <v>1.001602467491334</v>
      </c>
      <c r="V23" s="72">
        <f t="shared" si="8"/>
        <v>1.0226135790533759</v>
      </c>
      <c r="W23" s="73">
        <f>ROUND((O23+W17)*(V23-1),4)+W17</f>
        <v>7298.7674000000006</v>
      </c>
      <c r="X23" s="7">
        <v>5</v>
      </c>
      <c r="Y23" s="73">
        <f>TRUNC(O23/X23,4)</f>
        <v>61498.914299999997</v>
      </c>
    </row>
    <row r="24" spans="1:25" x14ac:dyDescent="0.2">
      <c r="A24" s="71">
        <f t="shared" si="10"/>
        <v>200000</v>
      </c>
      <c r="B24" s="26"/>
      <c r="C24" s="26">
        <f>WORKDAY(EDATE(D24,1)-1,1,Feriados!$B$3:$B$626)</f>
        <v>43753</v>
      </c>
      <c r="D24" s="26">
        <f t="shared" si="11"/>
        <v>43722</v>
      </c>
      <c r="E24" s="27">
        <f>NETWORKDAYS(IF(B23="",C23,B23),IF(B24&lt;&gt;"",WORKDAY(B24-1,1,Feriados!$B$3:$B$626),C24),Feriados!$B$3:$B$626)-1</f>
        <v>20</v>
      </c>
      <c r="F24" s="72">
        <f t="shared" si="1"/>
        <v>1.0023332422775231</v>
      </c>
      <c r="G24" s="72">
        <f t="shared" si="2"/>
        <v>1.0015261013190424</v>
      </c>
      <c r="H24" s="72">
        <f t="shared" si="3"/>
        <v>1.0081293363195047</v>
      </c>
      <c r="I24" s="73">
        <f t="shared" si="4"/>
        <v>0</v>
      </c>
      <c r="J24" s="7"/>
      <c r="K24" s="73"/>
      <c r="M24" s="36"/>
      <c r="O24" s="71">
        <f t="shared" si="15"/>
        <v>245995.65759999998</v>
      </c>
      <c r="P24" s="26"/>
      <c r="Q24" s="26">
        <f>WORKDAY(EDATE(R24,1)-1,1,Feriados!$B$3:$B$626)</f>
        <v>43722</v>
      </c>
      <c r="R24" s="26">
        <f t="shared" si="13"/>
        <v>43691</v>
      </c>
      <c r="S24" s="27">
        <f>NETWORKDAYS(IF(P23="",Q23,P23),IF(P24&lt;&gt;"",WORKDAY(P24-1,1,Feriados!$B$3:$B$626),Q24),Feriados!$B$3:$B$626)-1</f>
        <v>22</v>
      </c>
      <c r="T24" s="72">
        <f t="shared" si="6"/>
        <v>1.0025668657169946</v>
      </c>
      <c r="U24" s="72">
        <f t="shared" si="7"/>
        <v>1.0016788394865317</v>
      </c>
      <c r="V24" s="72">
        <f t="shared" si="8"/>
        <v>1.0042500145590487</v>
      </c>
      <c r="W24" s="73">
        <f t="shared" ref="W24:W29" si="16">IF(P24="",0,ROUND(O24*(V24-1),4))</f>
        <v>0</v>
      </c>
      <c r="X24" s="7"/>
      <c r="Y24" s="73"/>
    </row>
    <row r="25" spans="1:25" x14ac:dyDescent="0.2">
      <c r="A25" s="71">
        <f t="shared" si="10"/>
        <v>200000</v>
      </c>
      <c r="B25" s="26"/>
      <c r="C25" s="26">
        <f>WORKDAY(EDATE(D25,1)-1,1,Feriados!$B$3:$B$626)</f>
        <v>43784</v>
      </c>
      <c r="D25" s="26">
        <f t="shared" si="11"/>
        <v>43752</v>
      </c>
      <c r="E25" s="27">
        <f>NETWORKDAYS(IF(B24="",C24,B24),IF(B25&lt;&gt;"",WORKDAY(B25-1,1,Feriados!$B$3:$B$626),C25),Feriados!$B$3:$B$626)-1</f>
        <v>21</v>
      </c>
      <c r="F25" s="72">
        <f t="shared" si="1"/>
        <v>1.0024500471914444</v>
      </c>
      <c r="G25" s="72">
        <f t="shared" si="2"/>
        <v>1.001602467491334</v>
      </c>
      <c r="H25" s="72">
        <f t="shared" si="3"/>
        <v>1.0122187532948135</v>
      </c>
      <c r="I25" s="73">
        <f t="shared" si="4"/>
        <v>0</v>
      </c>
      <c r="J25" s="7"/>
      <c r="K25" s="73"/>
      <c r="M25" s="36"/>
      <c r="O25" s="71">
        <f t="shared" si="15"/>
        <v>245995.65759999998</v>
      </c>
      <c r="P25" s="26"/>
      <c r="Q25" s="26">
        <f>WORKDAY(EDATE(R25,1)-1,1,Feriados!$B$3:$B$626)</f>
        <v>43753</v>
      </c>
      <c r="R25" s="26">
        <f t="shared" si="13"/>
        <v>43722</v>
      </c>
      <c r="S25" s="27">
        <f>NETWORKDAYS(IF(P24="",Q24,P24),IF(P25&lt;&gt;"",WORKDAY(P25-1,1,Feriados!$B$3:$B$626),Q25),Feriados!$B$3:$B$626)-1</f>
        <v>20</v>
      </c>
      <c r="T25" s="72">
        <f t="shared" si="6"/>
        <v>1.0023332422775231</v>
      </c>
      <c r="U25" s="72">
        <f t="shared" si="7"/>
        <v>1.0015261013190424</v>
      </c>
      <c r="V25" s="72">
        <f t="shared" si="8"/>
        <v>1.0081293363195047</v>
      </c>
      <c r="W25" s="73">
        <f t="shared" si="16"/>
        <v>0</v>
      </c>
      <c r="X25" s="7"/>
      <c r="Y25" s="73"/>
    </row>
    <row r="26" spans="1:25" x14ac:dyDescent="0.2">
      <c r="A26" s="71">
        <f t="shared" si="10"/>
        <v>200000</v>
      </c>
      <c r="B26" s="26"/>
      <c r="C26" s="26">
        <f>WORKDAY(EDATE(D26,1)-1,1,Feriados!$B$3:$B$626)</f>
        <v>43813</v>
      </c>
      <c r="D26" s="26">
        <f t="shared" si="11"/>
        <v>43783</v>
      </c>
      <c r="E26" s="27">
        <f>NETWORKDAYS(IF(B25="",C25,B25),IF(B26&lt;&gt;"",WORKDAY(B26-1,1,Feriados!$B$3:$B$626),C26),Feriados!$B$3:$B$626)-1</f>
        <v>21</v>
      </c>
      <c r="F26" s="72">
        <f t="shared" si="1"/>
        <v>1.0024500471914444</v>
      </c>
      <c r="G26" s="72">
        <f t="shared" si="2"/>
        <v>1.001602467491334</v>
      </c>
      <c r="H26" s="72">
        <f t="shared" si="3"/>
        <v>1.0163247587480044</v>
      </c>
      <c r="I26" s="73">
        <f t="shared" si="4"/>
        <v>0</v>
      </c>
      <c r="J26" s="7"/>
      <c r="K26" s="73"/>
      <c r="M26" s="36"/>
      <c r="O26" s="71">
        <f t="shared" si="15"/>
        <v>245995.65759999998</v>
      </c>
      <c r="P26" s="26"/>
      <c r="Q26" s="26">
        <f>WORKDAY(EDATE(R26,1)-1,1,Feriados!$B$3:$B$626)</f>
        <v>43784</v>
      </c>
      <c r="R26" s="26">
        <f t="shared" si="13"/>
        <v>43752</v>
      </c>
      <c r="S26" s="27">
        <f>NETWORKDAYS(IF(P25="",Q25,P25),IF(P26&lt;&gt;"",WORKDAY(P26-1,1,Feriados!$B$3:$B$626),Q26),Feriados!$B$3:$B$626)-1</f>
        <v>21</v>
      </c>
      <c r="T26" s="72">
        <f t="shared" si="6"/>
        <v>1.0024500471914444</v>
      </c>
      <c r="U26" s="72">
        <f t="shared" si="7"/>
        <v>1.001602467491334</v>
      </c>
      <c r="V26" s="72">
        <f t="shared" si="8"/>
        <v>1.0122187532948135</v>
      </c>
      <c r="W26" s="73">
        <f t="shared" si="16"/>
        <v>0</v>
      </c>
      <c r="X26" s="7"/>
      <c r="Y26" s="73"/>
    </row>
    <row r="27" spans="1:25" x14ac:dyDescent="0.2">
      <c r="A27" s="71">
        <f t="shared" si="10"/>
        <v>200000</v>
      </c>
      <c r="B27" s="26"/>
      <c r="C27" s="26">
        <f>WORKDAY(EDATE(D27,1)-1,1,Feriados!$B$3:$B$626)</f>
        <v>43844</v>
      </c>
      <c r="D27" s="26">
        <f t="shared" si="11"/>
        <v>43813</v>
      </c>
      <c r="E27" s="27">
        <f>NETWORKDAYS(IF(B26="",C26,B26),IF(B27&lt;&gt;"",WORKDAY(B27-1,1,Feriados!$B$3:$B$626),C27),Feriados!$B$3:$B$626)-1</f>
        <v>19</v>
      </c>
      <c r="F27" s="72">
        <f t="shared" si="1"/>
        <v>1.0022164509736442</v>
      </c>
      <c r="G27" s="72">
        <f t="shared" si="2"/>
        <v>1.0014497409692127</v>
      </c>
      <c r="H27" s="72">
        <f t="shared" si="3"/>
        <v>1.0200540661256523</v>
      </c>
      <c r="I27" s="73">
        <f t="shared" si="4"/>
        <v>0</v>
      </c>
      <c r="J27" s="7"/>
      <c r="K27" s="73"/>
      <c r="M27" s="36"/>
      <c r="O27" s="71">
        <f t="shared" si="15"/>
        <v>245995.65759999998</v>
      </c>
      <c r="P27" s="26"/>
      <c r="Q27" s="26">
        <f>WORKDAY(EDATE(R27,1)-1,1,Feriados!$B$3:$B$626)</f>
        <v>43813</v>
      </c>
      <c r="R27" s="26">
        <f t="shared" si="13"/>
        <v>43783</v>
      </c>
      <c r="S27" s="27">
        <f>NETWORKDAYS(IF(P26="",Q26,P26),IF(P27&lt;&gt;"",WORKDAY(P27-1,1,Feriados!$B$3:$B$626),Q27),Feriados!$B$3:$B$626)-1</f>
        <v>21</v>
      </c>
      <c r="T27" s="72">
        <f t="shared" si="6"/>
        <v>1.0024500471914444</v>
      </c>
      <c r="U27" s="72">
        <f t="shared" si="7"/>
        <v>1.001602467491334</v>
      </c>
      <c r="V27" s="72">
        <f t="shared" si="8"/>
        <v>1.0163247587480044</v>
      </c>
      <c r="W27" s="73">
        <f t="shared" si="16"/>
        <v>0</v>
      </c>
      <c r="X27" s="7"/>
      <c r="Y27" s="73"/>
    </row>
    <row r="28" spans="1:25" x14ac:dyDescent="0.2">
      <c r="A28" s="71">
        <f t="shared" si="10"/>
        <v>200000</v>
      </c>
      <c r="B28" s="26">
        <f t="shared" ref="B28" si="17">C28</f>
        <v>43875</v>
      </c>
      <c r="C28" s="26">
        <f>WORKDAY(EDATE(D28,1)-1,1,Feriados!$B$3:$B$626)</f>
        <v>43875</v>
      </c>
      <c r="D28" s="26">
        <f t="shared" si="11"/>
        <v>43844</v>
      </c>
      <c r="E28" s="27">
        <f>NETWORKDAYS(IF(B27="",C27,B27),IF(B28&lt;&gt;"",WORKDAY(B28-1,1,Feriados!$B$3:$B$626),C28),Feriados!$B$3:$B$626)-1</f>
        <v>21</v>
      </c>
      <c r="F28" s="72">
        <f t="shared" si="1"/>
        <v>1.0024500471914444</v>
      </c>
      <c r="G28" s="72">
        <f t="shared" si="2"/>
        <v>1.001602467491334</v>
      </c>
      <c r="H28" s="72">
        <f t="shared" si="3"/>
        <v>1.0241918550615206</v>
      </c>
      <c r="I28" s="73">
        <f t="shared" si="4"/>
        <v>4838.3710000000001</v>
      </c>
      <c r="J28" s="7">
        <v>4</v>
      </c>
      <c r="K28" s="73">
        <f>TRUNC(A28/J28,4)</f>
        <v>50000</v>
      </c>
      <c r="M28" s="36"/>
      <c r="O28" s="71">
        <f t="shared" si="15"/>
        <v>245995.65759999998</v>
      </c>
      <c r="P28" s="26"/>
      <c r="Q28" s="26">
        <f>WORKDAY(EDATE(R28,1)-1,1,Feriados!$B$3:$B$626)</f>
        <v>43844</v>
      </c>
      <c r="R28" s="26">
        <f t="shared" si="13"/>
        <v>43813</v>
      </c>
      <c r="S28" s="27">
        <f>NETWORKDAYS(IF(P27="",Q27,P27),IF(P28&lt;&gt;"",WORKDAY(P28-1,1,Feriados!$B$3:$B$626),Q28),Feriados!$B$3:$B$626)-1</f>
        <v>19</v>
      </c>
      <c r="T28" s="72">
        <f t="shared" si="6"/>
        <v>1.0022164509736442</v>
      </c>
      <c r="U28" s="72">
        <f t="shared" si="7"/>
        <v>1.0014497409692127</v>
      </c>
      <c r="V28" s="72">
        <f t="shared" si="8"/>
        <v>1.0200540661256523</v>
      </c>
      <c r="W28" s="73">
        <f t="shared" si="16"/>
        <v>0</v>
      </c>
      <c r="X28" s="7"/>
      <c r="Y28" s="73"/>
    </row>
    <row r="29" spans="1:25" x14ac:dyDescent="0.2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M29" s="36"/>
      <c r="O29" s="71">
        <f t="shared" si="15"/>
        <v>245995.65759999998</v>
      </c>
      <c r="P29" s="26">
        <f>Q29</f>
        <v>43875</v>
      </c>
      <c r="Q29" s="26">
        <f>WORKDAY(EDATE(R29,1)-1,1,Feriados!$B$3:$B$626)</f>
        <v>43875</v>
      </c>
      <c r="R29" s="26">
        <f t="shared" si="13"/>
        <v>43844</v>
      </c>
      <c r="S29" s="27">
        <f>NETWORKDAYS(IF(P28="",Q28,P28),IF(P29&lt;&gt;"",WORKDAY(P29-1,1,Feriados!$B$3:$B$626),Q29),Feriados!$B$3:$B$626)-1</f>
        <v>21</v>
      </c>
      <c r="T29" s="72">
        <f t="shared" si="6"/>
        <v>1.0024500471914444</v>
      </c>
      <c r="U29" s="72">
        <f t="shared" si="7"/>
        <v>1.001602467491334</v>
      </c>
      <c r="V29" s="72">
        <f t="shared" si="8"/>
        <v>1.0241918550615206</v>
      </c>
      <c r="W29" s="73">
        <f t="shared" si="16"/>
        <v>5951.0913</v>
      </c>
      <c r="X29" s="7">
        <v>4</v>
      </c>
      <c r="Y29" s="73">
        <f>TRUNC(O29/X29,4)</f>
        <v>61498.914400000001</v>
      </c>
    </row>
    <row r="30" spans="1:25" x14ac:dyDescent="0.2">
      <c r="A30" s="5" t="s">
        <v>11</v>
      </c>
      <c r="M30" s="36"/>
      <c r="O30" s="5" t="s">
        <v>11</v>
      </c>
    </row>
  </sheetData>
  <mergeCells count="21">
    <mergeCell ref="D3:E3"/>
    <mergeCell ref="D4:E4"/>
    <mergeCell ref="A7:A8"/>
    <mergeCell ref="B7:B8"/>
    <mergeCell ref="C7:C8"/>
    <mergeCell ref="D7:D8"/>
    <mergeCell ref="E7:E8"/>
    <mergeCell ref="J7:K7"/>
    <mergeCell ref="F7:I7"/>
    <mergeCell ref="Q3:R3"/>
    <mergeCell ref="Q4:R4"/>
    <mergeCell ref="O7:O8"/>
    <mergeCell ref="P7:P8"/>
    <mergeCell ref="U3:X3"/>
    <mergeCell ref="S3:T3"/>
    <mergeCell ref="S4:T4"/>
    <mergeCell ref="X7:Y7"/>
    <mergeCell ref="Q7:Q8"/>
    <mergeCell ref="R7:R8"/>
    <mergeCell ref="S7:S8"/>
    <mergeCell ref="T7:W7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F2B-5435-4659-8A45-35461DA3CAC3}">
  <dimension ref="A1:AE30"/>
  <sheetViews>
    <sheetView showGridLines="0" topLeftCell="N1" zoomScale="97" zoomScaleNormal="97" workbookViewId="0">
      <selection activeCell="L6" sqref="L6"/>
    </sheetView>
  </sheetViews>
  <sheetFormatPr defaultColWidth="9.140625" defaultRowHeight="14.25" x14ac:dyDescent="0.2"/>
  <cols>
    <col min="1" max="1" width="14.7109375" customWidth="1"/>
    <col min="2" max="2" width="13.5703125" customWidth="1"/>
    <col min="3" max="4" width="12.42578125" customWidth="1"/>
    <col min="5" max="5" width="6.7109375" customWidth="1"/>
    <col min="6" max="6" width="4.5703125" bestFit="1" customWidth="1"/>
    <col min="7" max="7" width="4.28515625" bestFit="1" customWidth="1"/>
    <col min="8" max="11" width="13.7109375" customWidth="1"/>
    <col min="12" max="12" width="11.7109375" bestFit="1" customWidth="1"/>
    <col min="13" max="13" width="6.7109375" customWidth="1"/>
    <col min="14" max="14" width="11.7109375" bestFit="1" customWidth="1"/>
    <col min="15" max="15" width="1.7109375" style="5" customWidth="1"/>
    <col min="16" max="16" width="0.140625" style="5" customWidth="1"/>
    <col min="17" max="17" width="1.7109375" style="5" customWidth="1"/>
    <col min="18" max="18" width="14.85546875" customWidth="1"/>
    <col min="19" max="19" width="13.5703125" customWidth="1"/>
    <col min="20" max="21" width="12.42578125" customWidth="1"/>
    <col min="22" max="22" width="6.7109375" customWidth="1"/>
    <col min="23" max="23" width="4.5703125" bestFit="1" customWidth="1"/>
    <col min="24" max="24" width="4.28515625" bestFit="1" customWidth="1"/>
    <col min="25" max="28" width="13.7109375" customWidth="1"/>
    <col min="29" max="29" width="11.7109375" bestFit="1" customWidth="1"/>
    <col min="30" max="30" width="6.7109375" customWidth="1"/>
    <col min="31" max="31" width="11.7109375" bestFit="1" customWidth="1"/>
  </cols>
  <sheetData>
    <row r="1" spans="1:31" ht="15" x14ac:dyDescent="0.25">
      <c r="A1" s="4" t="s">
        <v>25</v>
      </c>
      <c r="B1" s="4" t="s">
        <v>13</v>
      </c>
      <c r="C1" s="4" t="s">
        <v>17</v>
      </c>
      <c r="P1" s="36"/>
      <c r="R1" s="4" t="s">
        <v>12</v>
      </c>
      <c r="S1" s="4" t="s">
        <v>13</v>
      </c>
      <c r="T1" s="4" t="s">
        <v>18</v>
      </c>
      <c r="U1" s="5"/>
      <c r="V1" s="5"/>
      <c r="W1" s="5"/>
      <c r="X1" s="5"/>
      <c r="Y1" s="5"/>
      <c r="Z1" s="5"/>
      <c r="AA1" s="5"/>
      <c r="AB1" s="5"/>
    </row>
    <row r="2" spans="1:31" ht="15.75" thickBot="1" x14ac:dyDescent="0.3">
      <c r="A2" s="88"/>
      <c r="B2" s="88"/>
      <c r="C2" s="59"/>
      <c r="D2" s="60"/>
      <c r="E2" s="60"/>
      <c r="F2" s="87"/>
      <c r="G2" s="87"/>
      <c r="H2" s="87"/>
      <c r="I2" s="58"/>
      <c r="J2" s="58"/>
      <c r="K2" s="58"/>
      <c r="L2" s="58"/>
      <c r="M2" s="58"/>
      <c r="N2" s="58"/>
      <c r="P2" s="36"/>
      <c r="R2" s="6"/>
      <c r="S2" s="5"/>
      <c r="T2" s="5"/>
      <c r="U2" s="5"/>
      <c r="V2" s="5"/>
      <c r="W2" s="81"/>
      <c r="X2" s="81"/>
      <c r="Y2" s="81"/>
      <c r="Z2" s="5"/>
      <c r="AA2" s="5"/>
      <c r="AB2" s="5"/>
      <c r="AC2" s="58"/>
      <c r="AD2" s="58"/>
      <c r="AE2" s="58"/>
    </row>
    <row r="3" spans="1:31" ht="42" customHeight="1" thickBot="1" x14ac:dyDescent="0.25">
      <c r="A3" s="32" t="s">
        <v>6</v>
      </c>
      <c r="B3" s="32" t="s">
        <v>35</v>
      </c>
      <c r="C3" s="32" t="s">
        <v>46</v>
      </c>
      <c r="D3" s="32" t="s">
        <v>47</v>
      </c>
      <c r="K3" s="61"/>
      <c r="L3" s="61"/>
      <c r="M3" s="61"/>
      <c r="N3" s="61"/>
      <c r="P3" s="36"/>
      <c r="R3" s="37" t="s">
        <v>19</v>
      </c>
      <c r="S3" s="37" t="s">
        <v>20</v>
      </c>
      <c r="T3" s="100" t="s">
        <v>22</v>
      </c>
      <c r="U3" s="100"/>
      <c r="V3" s="100" t="s">
        <v>21</v>
      </c>
      <c r="W3" s="100"/>
      <c r="X3" s="100"/>
      <c r="Y3" s="100"/>
      <c r="Z3" s="109" t="s">
        <v>58</v>
      </c>
      <c r="AA3" s="109"/>
      <c r="AB3" s="109"/>
      <c r="AC3" s="109"/>
      <c r="AD3" s="61"/>
    </row>
    <row r="4" spans="1:31" ht="15" thickBot="1" x14ac:dyDescent="0.25">
      <c r="A4" s="66">
        <v>300000</v>
      </c>
      <c r="B4" s="68">
        <v>43298</v>
      </c>
      <c r="C4" s="69">
        <v>2.98</v>
      </c>
      <c r="D4" s="70">
        <v>1.94</v>
      </c>
      <c r="K4" s="58"/>
      <c r="L4" s="58"/>
      <c r="M4" s="58"/>
      <c r="N4" s="58"/>
      <c r="P4" s="36"/>
      <c r="R4" s="67">
        <v>2</v>
      </c>
      <c r="S4" s="67">
        <v>0</v>
      </c>
      <c r="T4" s="101">
        <f>R4+S4</f>
        <v>2</v>
      </c>
      <c r="U4" s="101"/>
      <c r="V4" s="101">
        <v>12</v>
      </c>
      <c r="W4" s="101"/>
      <c r="X4" s="101"/>
      <c r="Y4" s="101"/>
      <c r="Z4" s="5"/>
      <c r="AA4" s="5"/>
      <c r="AB4" s="58"/>
      <c r="AC4" s="58"/>
      <c r="AD4" s="58"/>
    </row>
    <row r="5" spans="1:31" x14ac:dyDescent="0.2">
      <c r="A5" s="8"/>
      <c r="B5" s="9"/>
      <c r="C5" s="10"/>
      <c r="D5" s="89"/>
      <c r="E5" s="89"/>
      <c r="F5" s="9"/>
      <c r="G5" s="9"/>
      <c r="H5" s="9"/>
      <c r="I5" s="10"/>
      <c r="J5" s="64"/>
      <c r="K5" s="58"/>
      <c r="L5" s="58"/>
      <c r="M5" s="58"/>
      <c r="N5" s="58"/>
      <c r="P5" s="36"/>
      <c r="R5" s="8"/>
      <c r="S5" s="9"/>
      <c r="T5" s="10"/>
      <c r="U5" s="9"/>
      <c r="V5" s="9"/>
      <c r="W5" s="9"/>
      <c r="X5" s="9"/>
      <c r="Y5" s="9"/>
      <c r="Z5" s="10"/>
      <c r="AA5" s="64"/>
      <c r="AB5" s="58"/>
      <c r="AC5" s="58"/>
      <c r="AD5" s="58"/>
      <c r="AE5" s="58"/>
    </row>
    <row r="6" spans="1:31" ht="15" thickBot="1" x14ac:dyDescent="0.25">
      <c r="A6" s="78" t="s">
        <v>51</v>
      </c>
      <c r="B6" s="79"/>
      <c r="C6" s="80"/>
      <c r="D6" s="79"/>
      <c r="E6" s="79"/>
      <c r="F6" s="79"/>
      <c r="G6" s="79"/>
      <c r="H6" s="79"/>
      <c r="I6" s="65"/>
      <c r="J6" s="65"/>
      <c r="K6" s="65"/>
      <c r="L6" s="65"/>
      <c r="M6" s="65"/>
      <c r="N6" s="65"/>
      <c r="P6" s="36"/>
      <c r="R6" s="78" t="s">
        <v>51</v>
      </c>
      <c r="S6" s="62"/>
      <c r="T6" s="63"/>
      <c r="U6" s="62"/>
      <c r="V6" s="62"/>
      <c r="W6" s="62"/>
      <c r="X6" s="62"/>
      <c r="Y6" s="62"/>
      <c r="Z6" s="58"/>
      <c r="AA6" s="58"/>
      <c r="AB6" s="58"/>
      <c r="AC6" s="58"/>
      <c r="AD6" s="65"/>
      <c r="AE6" s="65"/>
    </row>
    <row r="7" spans="1:31" ht="26.45" customHeight="1" x14ac:dyDescent="0.2">
      <c r="A7" s="134" t="s">
        <v>1</v>
      </c>
      <c r="B7" s="131" t="s">
        <v>2</v>
      </c>
      <c r="C7" s="131" t="s">
        <v>36</v>
      </c>
      <c r="D7" s="131" t="s">
        <v>57</v>
      </c>
      <c r="E7" s="132"/>
      <c r="F7" s="131" t="s">
        <v>38</v>
      </c>
      <c r="G7" s="131" t="s">
        <v>39</v>
      </c>
      <c r="H7" s="132" t="s">
        <v>8</v>
      </c>
      <c r="I7" s="137"/>
      <c r="J7" s="137"/>
      <c r="K7" s="137"/>
      <c r="L7" s="134"/>
      <c r="M7" s="131" t="s">
        <v>40</v>
      </c>
      <c r="N7" s="132"/>
      <c r="P7" s="36"/>
      <c r="R7" s="120" t="s">
        <v>1</v>
      </c>
      <c r="S7" s="120" t="s">
        <v>2</v>
      </c>
      <c r="T7" s="120" t="s">
        <v>36</v>
      </c>
      <c r="U7" s="128" t="s">
        <v>37</v>
      </c>
      <c r="V7" s="129"/>
      <c r="W7" s="102" t="s">
        <v>38</v>
      </c>
      <c r="X7" s="120" t="s">
        <v>39</v>
      </c>
      <c r="Y7" s="128" t="s">
        <v>8</v>
      </c>
      <c r="Z7" s="129"/>
      <c r="AA7" s="129"/>
      <c r="AB7" s="129"/>
      <c r="AC7" s="130"/>
      <c r="AD7" s="128" t="s">
        <v>40</v>
      </c>
      <c r="AE7" s="129"/>
    </row>
    <row r="8" spans="1:31" ht="26.45" customHeight="1" thickBot="1" x14ac:dyDescent="0.25">
      <c r="A8" s="135"/>
      <c r="B8" s="136"/>
      <c r="C8" s="136"/>
      <c r="D8" s="34" t="s">
        <v>37</v>
      </c>
      <c r="E8" s="35" t="s">
        <v>56</v>
      </c>
      <c r="F8" s="136"/>
      <c r="G8" s="136"/>
      <c r="H8" s="33" t="s">
        <v>50</v>
      </c>
      <c r="I8" s="33" t="s">
        <v>48</v>
      </c>
      <c r="J8" s="33" t="s">
        <v>41</v>
      </c>
      <c r="K8" s="33" t="s">
        <v>42</v>
      </c>
      <c r="L8" s="33" t="s">
        <v>5</v>
      </c>
      <c r="M8" s="34" t="s">
        <v>16</v>
      </c>
      <c r="N8" s="35" t="s">
        <v>5</v>
      </c>
      <c r="P8" s="36"/>
      <c r="R8" s="121"/>
      <c r="S8" s="121"/>
      <c r="T8" s="121"/>
      <c r="U8" s="82" t="s">
        <v>37</v>
      </c>
      <c r="V8" s="74" t="s">
        <v>56</v>
      </c>
      <c r="W8" s="103"/>
      <c r="X8" s="121"/>
      <c r="Y8" s="54" t="s">
        <v>50</v>
      </c>
      <c r="Z8" s="54" t="s">
        <v>48</v>
      </c>
      <c r="AA8" s="54" t="s">
        <v>41</v>
      </c>
      <c r="AB8" s="54" t="s">
        <v>42</v>
      </c>
      <c r="AC8" s="54" t="s">
        <v>5</v>
      </c>
      <c r="AD8" s="82" t="s">
        <v>16</v>
      </c>
      <c r="AE8" s="74" t="s">
        <v>5</v>
      </c>
    </row>
    <row r="9" spans="1:31" x14ac:dyDescent="0.2">
      <c r="A9" s="75"/>
      <c r="B9" s="20">
        <f>B4</f>
        <v>43298</v>
      </c>
      <c r="C9" s="20"/>
      <c r="D9" s="20"/>
      <c r="E9" s="20"/>
      <c r="F9" s="22"/>
      <c r="G9" s="22"/>
      <c r="H9" s="22"/>
      <c r="I9" s="76"/>
      <c r="J9" s="76"/>
      <c r="K9" s="76"/>
      <c r="L9" s="77"/>
      <c r="M9" s="23"/>
      <c r="N9" s="77"/>
      <c r="P9" s="36"/>
      <c r="R9" s="71"/>
      <c r="S9" s="26">
        <f>B4</f>
        <v>43298</v>
      </c>
      <c r="T9" s="26"/>
      <c r="U9" s="26"/>
      <c r="V9" s="26"/>
      <c r="W9" s="27"/>
      <c r="X9" s="27"/>
      <c r="Y9" s="27"/>
      <c r="Z9" s="72"/>
      <c r="AA9" s="72"/>
      <c r="AB9" s="72"/>
      <c r="AC9" s="73"/>
      <c r="AD9" s="7"/>
      <c r="AE9" s="73"/>
    </row>
    <row r="10" spans="1:31" x14ac:dyDescent="0.2">
      <c r="A10" s="95">
        <f>A4</f>
        <v>300000</v>
      </c>
      <c r="B10" s="26">
        <f t="shared" ref="B10:B22" si="0">C10</f>
        <v>43326</v>
      </c>
      <c r="C10" s="26">
        <f>WORKDAY(EDATE(D10,1)-1,1,Feriados!$B$3:$B$626)</f>
        <v>43326</v>
      </c>
      <c r="D10" s="26">
        <v>43295</v>
      </c>
      <c r="E10" s="95">
        <f>VLOOKUP(D10,'Série IPCA'!$B$3:$C$323,2,FALSE)</f>
        <v>0.67</v>
      </c>
      <c r="F10" s="27">
        <f>NETWORKDAYS(IF(B9="",C9,B9),IF(B10&lt;&gt;"",WORKDAY(B10-1,1,Feriados!$B$3:$B$626),C10),Feriados!$B$3:$B$626)-1</f>
        <v>20</v>
      </c>
      <c r="G10" s="27">
        <f>NETWORKDAYS(D10,C10,Feriados!$B$3:$B$626)-1</f>
        <v>21</v>
      </c>
      <c r="H10" s="72">
        <f>(1+E10/100)^(F10/G10)</f>
        <v>1.0063799368405801</v>
      </c>
      <c r="I10" s="72">
        <f t="shared" ref="I10:I28" si="1">(1+$C$4/100)^(F10/252)</f>
        <v>1.0023332422775231</v>
      </c>
      <c r="J10" s="72">
        <f t="shared" ref="J10:J28" si="2">(1+$D$4/100)^(F10/252)</f>
        <v>1.0015261013190424</v>
      </c>
      <c r="K10" s="72">
        <f>IF(B9="",K9*H10*I10*J10,H10*I10*J10)</f>
        <v>1.0102674862871053</v>
      </c>
      <c r="L10" s="45">
        <f>IF(B10="",0,ROUND(A10*(K10-1),2))</f>
        <v>3080.25</v>
      </c>
      <c r="M10" s="7"/>
      <c r="N10" s="45"/>
      <c r="P10" s="36"/>
      <c r="R10" s="95">
        <f>A4</f>
        <v>300000</v>
      </c>
      <c r="S10" s="26">
        <f t="shared" ref="S10" si="3">T10</f>
        <v>43326</v>
      </c>
      <c r="T10" s="26">
        <f>WORKDAY(EDATE(U10,1)-1,1,Feriados!$B$3:$B$626)</f>
        <v>43326</v>
      </c>
      <c r="U10" s="26">
        <v>43295</v>
      </c>
      <c r="V10" s="95">
        <f>VLOOKUP(U10,'Série IPCA'!$B$3:$C$323,2,FALSE)</f>
        <v>0.67</v>
      </c>
      <c r="W10" s="27">
        <f>NETWORKDAYS(IF(S9="",T9,S9),IF(S10&lt;&gt;"",WORKDAY(S10-1,1,Feriados!$B$3:$B$626),T10),Feriados!$B$3:$B$626)-1</f>
        <v>20</v>
      </c>
      <c r="X10" s="27">
        <f>NETWORKDAYS(U10,T10,Feriados!$B$3:$B$626)-1</f>
        <v>21</v>
      </c>
      <c r="Y10" s="72">
        <f>(1+V10/100)^(W10/X10)</f>
        <v>1.0063799368405801</v>
      </c>
      <c r="Z10" s="72">
        <f t="shared" ref="Z10:Z29" si="4">(1+$C$4/100)^(W10/252)</f>
        <v>1.0023332422775231</v>
      </c>
      <c r="AA10" s="72">
        <f t="shared" ref="AA10:AA29" si="5">(1+$D$4/100)^(W10/252)</f>
        <v>1.0015261013190424</v>
      </c>
      <c r="AB10" s="72">
        <f>IF(S9="",AB9*Y10*Z10*AA10,Y10*Z10*AA10)</f>
        <v>1.0102674862871053</v>
      </c>
      <c r="AC10" s="45">
        <f>IF(S10="",0,ROUND(R10*(AB10-1),2))</f>
        <v>3080.25</v>
      </c>
      <c r="AD10" s="7"/>
      <c r="AE10" s="45"/>
    </row>
    <row r="11" spans="1:31" x14ac:dyDescent="0.2">
      <c r="A11" s="95">
        <f t="shared" ref="A11:A28" si="6">+A10-N10</f>
        <v>300000</v>
      </c>
      <c r="B11" s="26"/>
      <c r="C11" s="26">
        <f>WORKDAY(EDATE(D11,1)-1,1,Feriados!$B$3:$B$626)</f>
        <v>43357</v>
      </c>
      <c r="D11" s="26">
        <f t="shared" ref="D11:D28" si="7">EDATE(D10,1)</f>
        <v>43326</v>
      </c>
      <c r="E11" s="95">
        <f>VLOOKUP(D11,'Série IPCA'!$B$3:$C$323,2,FALSE)</f>
        <v>-0.68</v>
      </c>
      <c r="F11" s="27">
        <f>NETWORKDAYS(IF(B10="",C10,B10),IF(B11&lt;&gt;"",WORKDAY(B11-1,1,Feriados!$B$3:$B$626),C11),Feriados!$B$3:$B$626)-1</f>
        <v>22</v>
      </c>
      <c r="G11" s="27">
        <f>NETWORKDAYS(D11,C11,Feriados!$B$3:$B$626)-1</f>
        <v>22</v>
      </c>
      <c r="H11" s="72">
        <f t="shared" ref="H11:H28" si="8">(1+E11/100)^(F11/G11)</f>
        <v>0.99319999999999997</v>
      </c>
      <c r="I11" s="72">
        <f t="shared" si="1"/>
        <v>1.0025668657169946</v>
      </c>
      <c r="J11" s="72">
        <f t="shared" si="2"/>
        <v>1.0016788394865317</v>
      </c>
      <c r="K11" s="72">
        <f t="shared" ref="K11:K28" si="9">IF(B10="",K10*H11*I11*J11,H11*I11*J11)</f>
        <v>0.99742111446004711</v>
      </c>
      <c r="L11" s="45">
        <f t="shared" ref="L11:L28" si="10">IF(B11="",0,ROUND(A11*(K11-1),2))</f>
        <v>0</v>
      </c>
      <c r="M11" s="7"/>
      <c r="N11" s="45"/>
      <c r="P11" s="36"/>
      <c r="R11" s="95">
        <f t="shared" ref="R11:R29" si="11">+R10-AE10</f>
        <v>300000</v>
      </c>
      <c r="S11" s="26"/>
      <c r="T11" s="26">
        <f>WORKDAY(EDATE(U11,1)-1,1,Feriados!$B$3:$B$626)</f>
        <v>43357</v>
      </c>
      <c r="U11" s="26">
        <f t="shared" ref="U11:U29" si="12">EDATE(U10,1)</f>
        <v>43326</v>
      </c>
      <c r="V11" s="95">
        <f>VLOOKUP(U11,'Série IPCA'!$B$3:$C$323,2,FALSE)</f>
        <v>-0.68</v>
      </c>
      <c r="W11" s="27">
        <f>NETWORKDAYS(IF(S10="",T10,S10),IF(S11&lt;&gt;"",WORKDAY(S11-1,1,Feriados!$B$3:$B$626),T11),Feriados!$B$3:$B$626)-1</f>
        <v>22</v>
      </c>
      <c r="X11" s="27">
        <f>NETWORKDAYS(U11,T11,Feriados!$B$3:$B$626)-1</f>
        <v>22</v>
      </c>
      <c r="Y11" s="72">
        <f t="shared" ref="Y11:Y29" si="13">(1+V11/100)^(W11/X11)</f>
        <v>0.99319999999999997</v>
      </c>
      <c r="Z11" s="72">
        <f t="shared" si="4"/>
        <v>1.0025668657169946</v>
      </c>
      <c r="AA11" s="72">
        <f t="shared" si="5"/>
        <v>1.0016788394865317</v>
      </c>
      <c r="AB11" s="72">
        <f t="shared" ref="AB11:AB29" si="14">IF(S10="",AB10*Y11*Z11*AA11,Y11*Z11*AA11)</f>
        <v>0.99742111446004711</v>
      </c>
      <c r="AC11" s="45">
        <f t="shared" ref="AC11:AC17" si="15">IF(S11="",0,ROUND(R11*(AB11-1),2))</f>
        <v>0</v>
      </c>
      <c r="AD11" s="7"/>
      <c r="AE11" s="45"/>
    </row>
    <row r="12" spans="1:31" x14ac:dyDescent="0.2">
      <c r="A12" s="95">
        <f t="shared" si="6"/>
        <v>300000</v>
      </c>
      <c r="B12" s="26"/>
      <c r="C12" s="26">
        <f>WORKDAY(EDATE(D12,1)-1,1,Feriados!$B$3:$B$626)</f>
        <v>43389</v>
      </c>
      <c r="D12" s="26">
        <f t="shared" si="7"/>
        <v>43357</v>
      </c>
      <c r="E12" s="95">
        <f>VLOOKUP(D12,'Série IPCA'!$B$3:$C$323,2,FALSE)</f>
        <v>-0.36</v>
      </c>
      <c r="F12" s="27">
        <f>NETWORKDAYS(IF(B11="",C11,B11),IF(B12&lt;&gt;"",WORKDAY(B12-1,1,Feriados!$B$3:$B$626),C12),Feriados!$B$3:$B$626)-1</f>
        <v>21</v>
      </c>
      <c r="G12" s="27">
        <f>NETWORKDAYS(D12,C12,Feriados!$B$3:$B$626)-1</f>
        <v>21</v>
      </c>
      <c r="H12" s="72">
        <f t="shared" si="8"/>
        <v>0.99639999999999995</v>
      </c>
      <c r="I12" s="72">
        <f t="shared" si="1"/>
        <v>1.0024500471914444</v>
      </c>
      <c r="J12" s="72">
        <f t="shared" si="2"/>
        <v>1.001602467491334</v>
      </c>
      <c r="K12" s="72">
        <f t="shared" si="9"/>
        <v>0.99786181262826734</v>
      </c>
      <c r="L12" s="45">
        <f t="shared" si="10"/>
        <v>0</v>
      </c>
      <c r="M12" s="7"/>
      <c r="N12" s="45"/>
      <c r="P12" s="36"/>
      <c r="R12" s="95">
        <f t="shared" si="11"/>
        <v>300000</v>
      </c>
      <c r="S12" s="26"/>
      <c r="T12" s="26">
        <f>WORKDAY(EDATE(U12,1)-1,1,Feriados!$B$3:$B$626)</f>
        <v>43389</v>
      </c>
      <c r="U12" s="26">
        <f t="shared" si="12"/>
        <v>43357</v>
      </c>
      <c r="V12" s="95">
        <f>VLOOKUP(U12,'Série IPCA'!$B$3:$C$323,2,FALSE)</f>
        <v>-0.36</v>
      </c>
      <c r="W12" s="27">
        <f>NETWORKDAYS(IF(S11="",T11,S11),IF(S12&lt;&gt;"",WORKDAY(S12-1,1,Feriados!$B$3:$B$626),T12),Feriados!$B$3:$B$626)-1</f>
        <v>21</v>
      </c>
      <c r="X12" s="27">
        <f>NETWORKDAYS(U12,T12,Feriados!$B$3:$B$626)-1</f>
        <v>21</v>
      </c>
      <c r="Y12" s="72">
        <f t="shared" si="13"/>
        <v>0.99639999999999995</v>
      </c>
      <c r="Z12" s="72">
        <f t="shared" si="4"/>
        <v>1.0024500471914444</v>
      </c>
      <c r="AA12" s="72">
        <f t="shared" si="5"/>
        <v>1.001602467491334</v>
      </c>
      <c r="AB12" s="72">
        <f t="shared" si="14"/>
        <v>0.99786181262826734</v>
      </c>
      <c r="AC12" s="45">
        <f t="shared" si="15"/>
        <v>0</v>
      </c>
      <c r="AD12" s="7"/>
      <c r="AE12" s="45"/>
    </row>
    <row r="13" spans="1:31" x14ac:dyDescent="0.2">
      <c r="A13" s="95">
        <f t="shared" si="6"/>
        <v>300000</v>
      </c>
      <c r="B13" s="26"/>
      <c r="C13" s="26">
        <f>WORKDAY(EDATE(D13,1)-1,1,Feriados!$B$3:$B$626)</f>
        <v>43419</v>
      </c>
      <c r="D13" s="26">
        <f t="shared" si="7"/>
        <v>43387</v>
      </c>
      <c r="E13" s="95">
        <f>VLOOKUP(D13,'Série IPCA'!$B$3:$C$323,2,FALSE)</f>
        <v>-0.28999999999999998</v>
      </c>
      <c r="F13" s="27">
        <f>NETWORKDAYS(IF(B12="",C12,B12),IF(B13&lt;&gt;"",WORKDAY(B13-1,1,Feriados!$B$3:$B$626),C13),Feriados!$B$3:$B$626)-1</f>
        <v>20</v>
      </c>
      <c r="G13" s="27">
        <f>NETWORKDAYS(D13,C13,Feriados!$B$3:$B$626)-1</f>
        <v>20</v>
      </c>
      <c r="H13" s="72">
        <f t="shared" si="8"/>
        <v>0.99709999999999999</v>
      </c>
      <c r="I13" s="72">
        <f t="shared" si="1"/>
        <v>1.0023332422775231</v>
      </c>
      <c r="J13" s="72">
        <f t="shared" si="2"/>
        <v>1.0015261013190424</v>
      </c>
      <c r="K13" s="72">
        <f t="shared" si="9"/>
        <v>0.99881147964923866</v>
      </c>
      <c r="L13" s="45">
        <f t="shared" si="10"/>
        <v>0</v>
      </c>
      <c r="M13" s="7"/>
      <c r="N13" s="45"/>
      <c r="P13" s="36"/>
      <c r="R13" s="95">
        <f t="shared" si="11"/>
        <v>300000</v>
      </c>
      <c r="S13" s="26"/>
      <c r="T13" s="26">
        <f>WORKDAY(EDATE(U13,1)-1,1,Feriados!$B$3:$B$626)</f>
        <v>43419</v>
      </c>
      <c r="U13" s="26">
        <f t="shared" si="12"/>
        <v>43387</v>
      </c>
      <c r="V13" s="95">
        <f>VLOOKUP(U13,'Série IPCA'!$B$3:$C$323,2,FALSE)</f>
        <v>-0.28999999999999998</v>
      </c>
      <c r="W13" s="27">
        <f>NETWORKDAYS(IF(S12="",T12,S12),IF(S13&lt;&gt;"",WORKDAY(S13-1,1,Feriados!$B$3:$B$626),T13),Feriados!$B$3:$B$626)-1</f>
        <v>20</v>
      </c>
      <c r="X13" s="27">
        <f>NETWORKDAYS(U13,T13,Feriados!$B$3:$B$626)-1</f>
        <v>20</v>
      </c>
      <c r="Y13" s="72">
        <f t="shared" si="13"/>
        <v>0.99709999999999999</v>
      </c>
      <c r="Z13" s="72">
        <f t="shared" si="4"/>
        <v>1.0023332422775231</v>
      </c>
      <c r="AA13" s="72">
        <f t="shared" si="5"/>
        <v>1.0015261013190424</v>
      </c>
      <c r="AB13" s="72">
        <f t="shared" si="14"/>
        <v>0.99881147964923866</v>
      </c>
      <c r="AC13" s="45">
        <f t="shared" si="15"/>
        <v>0</v>
      </c>
      <c r="AD13" s="7"/>
      <c r="AE13" s="45"/>
    </row>
    <row r="14" spans="1:31" x14ac:dyDescent="0.2">
      <c r="A14" s="95">
        <f t="shared" si="6"/>
        <v>300000</v>
      </c>
      <c r="B14" s="26"/>
      <c r="C14" s="26">
        <f>WORKDAY(EDATE(D14,1)-1,1,Feriados!$B$3:$B$626)</f>
        <v>43448</v>
      </c>
      <c r="D14" s="26">
        <f t="shared" si="7"/>
        <v>43418</v>
      </c>
      <c r="E14" s="95">
        <f>VLOOKUP(D14,'Série IPCA'!$B$3:$C$323,2,FALSE)</f>
        <v>0.59</v>
      </c>
      <c r="F14" s="27">
        <f>NETWORKDAYS(IF(B13="",C13,B13),IF(B14&lt;&gt;"",WORKDAY(B14-1,1,Feriados!$B$3:$B$626),C14),Feriados!$B$3:$B$626)-1</f>
        <v>21</v>
      </c>
      <c r="G14" s="27">
        <f>NETWORKDAYS(D14,C14,Feriados!$B$3:$B$626)-1</f>
        <v>21</v>
      </c>
      <c r="H14" s="72">
        <f t="shared" si="8"/>
        <v>1.0059</v>
      </c>
      <c r="I14" s="72">
        <f t="shared" si="1"/>
        <v>1.0024500471914444</v>
      </c>
      <c r="J14" s="72">
        <f t="shared" si="2"/>
        <v>1.001602467491334</v>
      </c>
      <c r="K14" s="72">
        <f t="shared" si="9"/>
        <v>1.0087799915763609</v>
      </c>
      <c r="L14" s="45">
        <f t="shared" si="10"/>
        <v>0</v>
      </c>
      <c r="M14" s="7"/>
      <c r="N14" s="45"/>
      <c r="P14" s="36"/>
      <c r="R14" s="95">
        <f t="shared" si="11"/>
        <v>300000</v>
      </c>
      <c r="S14" s="26"/>
      <c r="T14" s="26">
        <f>WORKDAY(EDATE(U14,1)-1,1,Feriados!$B$3:$B$626)</f>
        <v>43448</v>
      </c>
      <c r="U14" s="26">
        <f t="shared" si="12"/>
        <v>43418</v>
      </c>
      <c r="V14" s="95">
        <f>VLOOKUP(U14,'Série IPCA'!$B$3:$C$323,2,FALSE)</f>
        <v>0.59</v>
      </c>
      <c r="W14" s="27">
        <f>NETWORKDAYS(IF(S13="",T13,S13),IF(S14&lt;&gt;"",WORKDAY(S14-1,1,Feriados!$B$3:$B$626),T14),Feriados!$B$3:$B$626)-1</f>
        <v>21</v>
      </c>
      <c r="X14" s="27">
        <f>NETWORKDAYS(U14,T14,Feriados!$B$3:$B$626)-1</f>
        <v>21</v>
      </c>
      <c r="Y14" s="72">
        <f t="shared" si="13"/>
        <v>1.0059</v>
      </c>
      <c r="Z14" s="72">
        <f t="shared" si="4"/>
        <v>1.0024500471914444</v>
      </c>
      <c r="AA14" s="72">
        <f t="shared" si="5"/>
        <v>1.001602467491334</v>
      </c>
      <c r="AB14" s="72">
        <f t="shared" si="14"/>
        <v>1.0087799915763609</v>
      </c>
      <c r="AC14" s="45">
        <f t="shared" si="15"/>
        <v>0</v>
      </c>
      <c r="AD14" s="7"/>
      <c r="AE14" s="45"/>
    </row>
    <row r="15" spans="1:31" x14ac:dyDescent="0.2">
      <c r="A15" s="95">
        <f t="shared" si="6"/>
        <v>300000</v>
      </c>
      <c r="B15" s="26"/>
      <c r="C15" s="26">
        <f>WORKDAY(EDATE(D15,1)-1,1,Feriados!$B$3:$B$626)</f>
        <v>43480</v>
      </c>
      <c r="D15" s="26">
        <f t="shared" si="7"/>
        <v>43448</v>
      </c>
      <c r="E15" s="95">
        <f>VLOOKUP(D15,'Série IPCA'!$B$3:$C$323,2,FALSE)</f>
        <v>0.41</v>
      </c>
      <c r="F15" s="27">
        <f>NETWORKDAYS(IF(B14="",C14,B14),IF(B15&lt;&gt;"",WORKDAY(B15-1,1,Feriados!$B$3:$B$626),C15),Feriados!$B$3:$B$626)-1</f>
        <v>22</v>
      </c>
      <c r="G15" s="27">
        <f>NETWORKDAYS(D15,C15,Feriados!$B$3:$B$626)-1</f>
        <v>22</v>
      </c>
      <c r="H15" s="72">
        <f t="shared" si="8"/>
        <v>1.0041</v>
      </c>
      <c r="I15" s="72">
        <f t="shared" si="1"/>
        <v>1.0025668657169946</v>
      </c>
      <c r="J15" s="72">
        <f t="shared" si="2"/>
        <v>1.0016788394865317</v>
      </c>
      <c r="K15" s="72">
        <f t="shared" si="9"/>
        <v>1.0172208972444701</v>
      </c>
      <c r="L15" s="45">
        <f t="shared" si="10"/>
        <v>0</v>
      </c>
      <c r="M15" s="7"/>
      <c r="N15" s="45"/>
      <c r="P15" s="36"/>
      <c r="R15" s="95">
        <f t="shared" si="11"/>
        <v>300000</v>
      </c>
      <c r="S15" s="26"/>
      <c r="T15" s="26">
        <f>WORKDAY(EDATE(U15,1)-1,1,Feriados!$B$3:$B$626)</f>
        <v>43480</v>
      </c>
      <c r="U15" s="26">
        <f t="shared" si="12"/>
        <v>43448</v>
      </c>
      <c r="V15" s="95">
        <f>VLOOKUP(U15,'Série IPCA'!$B$3:$C$323,2,FALSE)</f>
        <v>0.41</v>
      </c>
      <c r="W15" s="27">
        <f>NETWORKDAYS(IF(S14="",T14,S14),IF(S15&lt;&gt;"",WORKDAY(S15-1,1,Feriados!$B$3:$B$626),T15),Feriados!$B$3:$B$626)-1</f>
        <v>22</v>
      </c>
      <c r="X15" s="27">
        <f>NETWORKDAYS(U15,T15,Feriados!$B$3:$B$626)-1</f>
        <v>22</v>
      </c>
      <c r="Y15" s="72">
        <f t="shared" si="13"/>
        <v>1.0041</v>
      </c>
      <c r="Z15" s="72">
        <f t="shared" si="4"/>
        <v>1.0025668657169946</v>
      </c>
      <c r="AA15" s="72">
        <f t="shared" si="5"/>
        <v>1.0016788394865317</v>
      </c>
      <c r="AB15" s="72">
        <f t="shared" si="14"/>
        <v>1.0172208972444701</v>
      </c>
      <c r="AC15" s="45">
        <f t="shared" si="15"/>
        <v>0</v>
      </c>
      <c r="AD15" s="7"/>
      <c r="AE15" s="45"/>
    </row>
    <row r="16" spans="1:31" x14ac:dyDescent="0.2">
      <c r="A16" s="95">
        <f t="shared" si="6"/>
        <v>300000</v>
      </c>
      <c r="B16" s="26">
        <f t="shared" si="0"/>
        <v>43510</v>
      </c>
      <c r="C16" s="26">
        <f>WORKDAY(EDATE(D16,1)-1,1,Feriados!$B$3:$B$626)</f>
        <v>43510</v>
      </c>
      <c r="D16" s="26">
        <f t="shared" si="7"/>
        <v>43479</v>
      </c>
      <c r="E16" s="95">
        <f>VLOOKUP(D16,'Série IPCA'!$B$3:$C$323,2,FALSE)</f>
        <v>0.62</v>
      </c>
      <c r="F16" s="27">
        <f>NETWORKDAYS(IF(B15="",C15,B15),IF(B16&lt;&gt;"",WORKDAY(B16-1,1,Feriados!$B$3:$B$626),C16),Feriados!$B$3:$B$626)-1</f>
        <v>22</v>
      </c>
      <c r="G16" s="27">
        <f>NETWORKDAYS(D16,C16,Feriados!$B$3:$B$626)-1</f>
        <v>22</v>
      </c>
      <c r="H16" s="72">
        <f t="shared" si="8"/>
        <v>1.0062</v>
      </c>
      <c r="I16" s="72">
        <f t="shared" si="1"/>
        <v>1.0025668657169946</v>
      </c>
      <c r="J16" s="72">
        <f t="shared" si="2"/>
        <v>1.0016788394865317</v>
      </c>
      <c r="K16" s="72">
        <f t="shared" si="9"/>
        <v>1.0278776742929063</v>
      </c>
      <c r="L16" s="45">
        <f t="shared" si="10"/>
        <v>8363.2999999999993</v>
      </c>
      <c r="M16" s="7">
        <v>6</v>
      </c>
      <c r="N16" s="45">
        <f>TRUNC(A16/M16,2)</f>
        <v>50000</v>
      </c>
      <c r="P16" s="36"/>
      <c r="R16" s="95">
        <f t="shared" si="11"/>
        <v>300000</v>
      </c>
      <c r="S16" s="26">
        <f t="shared" ref="S16" si="16">T16</f>
        <v>43510</v>
      </c>
      <c r="T16" s="26">
        <f>WORKDAY(EDATE(U16,1)-1,1,Feriados!$B$3:$B$626)</f>
        <v>43510</v>
      </c>
      <c r="U16" s="26">
        <f t="shared" si="12"/>
        <v>43479</v>
      </c>
      <c r="V16" s="95">
        <f>VLOOKUP(U16,'Série IPCA'!$B$3:$C$323,2,FALSE)</f>
        <v>0.62</v>
      </c>
      <c r="W16" s="27">
        <f>NETWORKDAYS(IF(S15="",T15,S15),IF(S16&lt;&gt;"",WORKDAY(S16-1,1,Feriados!$B$3:$B$626),T16),Feriados!$B$3:$B$626)-1</f>
        <v>22</v>
      </c>
      <c r="X16" s="27">
        <f>NETWORKDAYS(U16,T16,Feriados!$B$3:$B$626)-1</f>
        <v>22</v>
      </c>
      <c r="Y16" s="72">
        <f t="shared" si="13"/>
        <v>1.0062</v>
      </c>
      <c r="Z16" s="72">
        <f t="shared" si="4"/>
        <v>1.0025668657169946</v>
      </c>
      <c r="AA16" s="72">
        <f t="shared" si="5"/>
        <v>1.0016788394865317</v>
      </c>
      <c r="AB16" s="72">
        <f t="shared" si="14"/>
        <v>1.0278776742929063</v>
      </c>
      <c r="AC16" s="45">
        <f t="shared" si="15"/>
        <v>8363.2999999999993</v>
      </c>
      <c r="AD16" s="7">
        <v>6</v>
      </c>
      <c r="AE16" s="45">
        <f>TRUNC(R16/AD16,2)</f>
        <v>50000</v>
      </c>
    </row>
    <row r="17" spans="1:31" x14ac:dyDescent="0.2">
      <c r="A17" s="95">
        <f t="shared" si="6"/>
        <v>250000</v>
      </c>
      <c r="B17" s="26"/>
      <c r="C17" s="26">
        <f>WORKDAY(EDATE(D17,1)-1,1,Feriados!$B$3:$B$626)</f>
        <v>43538</v>
      </c>
      <c r="D17" s="26">
        <f t="shared" si="7"/>
        <v>43510</v>
      </c>
      <c r="E17" s="95">
        <f>VLOOKUP(D17,'Série IPCA'!$B$3:$C$323,2,FALSE)</f>
        <v>0.53</v>
      </c>
      <c r="F17" s="27">
        <f>NETWORKDAYS(IF(B16="",C16,B16),IF(B17&lt;&gt;"",WORKDAY(B17-1,1,Feriados!$B$3:$B$626),C17),Feriados!$B$3:$B$626)-1</f>
        <v>18</v>
      </c>
      <c r="G17" s="27">
        <f>NETWORKDAYS(D17,C17,Feriados!$B$3:$B$626)-1</f>
        <v>18</v>
      </c>
      <c r="H17" s="72">
        <f t="shared" si="8"/>
        <v>1.0053000000000001</v>
      </c>
      <c r="I17" s="72">
        <f t="shared" si="1"/>
        <v>1.0020996732782224</v>
      </c>
      <c r="J17" s="72">
        <f t="shared" si="2"/>
        <v>1.0013733864414009</v>
      </c>
      <c r="K17" s="72">
        <f t="shared" si="9"/>
        <v>1.0087943658823619</v>
      </c>
      <c r="L17" s="45">
        <f t="shared" si="10"/>
        <v>0</v>
      </c>
      <c r="M17" s="7"/>
      <c r="N17" s="45"/>
      <c r="P17" s="36"/>
      <c r="R17" s="95">
        <f t="shared" si="11"/>
        <v>250000</v>
      </c>
      <c r="S17" s="26"/>
      <c r="T17" s="26">
        <f>WORKDAY(EDATE(U17,1)-1,1,Feriados!$B$3:$B$626)</f>
        <v>43538</v>
      </c>
      <c r="U17" s="26">
        <f t="shared" si="12"/>
        <v>43510</v>
      </c>
      <c r="V17" s="95">
        <f>VLOOKUP(U17,'Série IPCA'!$B$3:$C$323,2,FALSE)</f>
        <v>0.53</v>
      </c>
      <c r="W17" s="27">
        <f>NETWORKDAYS(IF(S16="",T16,S16),IF(S17&lt;&gt;"",WORKDAY(S17-1,1,Feriados!$B$3:$B$626),T17),Feriados!$B$3:$B$626)-1</f>
        <v>18</v>
      </c>
      <c r="X17" s="27">
        <f>NETWORKDAYS(U17,T17,Feriados!$B$3:$B$626)-1</f>
        <v>18</v>
      </c>
      <c r="Y17" s="72">
        <f t="shared" si="13"/>
        <v>1.0053000000000001</v>
      </c>
      <c r="Z17" s="72">
        <f t="shared" si="4"/>
        <v>1.0020996732782224</v>
      </c>
      <c r="AA17" s="72">
        <f t="shared" si="5"/>
        <v>1.0013733864414009</v>
      </c>
      <c r="AB17" s="72">
        <f t="shared" si="14"/>
        <v>1.0087943658823619</v>
      </c>
      <c r="AC17" s="45">
        <f t="shared" si="15"/>
        <v>0</v>
      </c>
      <c r="AD17" s="7"/>
      <c r="AE17" s="96"/>
    </row>
    <row r="18" spans="1:31" x14ac:dyDescent="0.2">
      <c r="A18" s="95">
        <f t="shared" si="6"/>
        <v>250000</v>
      </c>
      <c r="B18" s="26"/>
      <c r="C18" s="26">
        <f>WORKDAY(EDATE(D18,1)-1,1,Feriados!$B$3:$B$626)</f>
        <v>43571</v>
      </c>
      <c r="D18" s="26">
        <f t="shared" si="7"/>
        <v>43538</v>
      </c>
      <c r="E18" s="95">
        <f>VLOOKUP(D18,'Série IPCA'!$B$3:$C$323,2,FALSE)</f>
        <v>0.84</v>
      </c>
      <c r="F18" s="27">
        <f>NETWORKDAYS(IF(B17="",C17,B17),IF(B18&lt;&gt;"",WORKDAY(B18-1,1,Feriados!$B$3:$B$626),C18),Feriados!$B$3:$B$626)-1</f>
        <v>22</v>
      </c>
      <c r="G18" s="27">
        <f>NETWORKDAYS(D18,C18,Feriados!$B$3:$B$626)-1</f>
        <v>22</v>
      </c>
      <c r="H18" s="72">
        <f t="shared" si="8"/>
        <v>1.0084</v>
      </c>
      <c r="I18" s="72">
        <f t="shared" si="1"/>
        <v>1.0025668657169946</v>
      </c>
      <c r="J18" s="72">
        <f t="shared" si="2"/>
        <v>1.0016788394865317</v>
      </c>
      <c r="K18" s="72">
        <f t="shared" si="9"/>
        <v>1.0215916433800933</v>
      </c>
      <c r="L18" s="45">
        <f t="shared" si="10"/>
        <v>0</v>
      </c>
      <c r="M18" s="7"/>
      <c r="N18" s="45"/>
      <c r="P18" s="36"/>
      <c r="R18" s="95">
        <f>+R17-AE17</f>
        <v>250000</v>
      </c>
      <c r="S18" s="26">
        <v>43554</v>
      </c>
      <c r="T18" s="26">
        <f>WORKDAY(EDATE(U18,1)-1,1,Feriados!$B$3:$B$626)</f>
        <v>43571</v>
      </c>
      <c r="U18" s="26">
        <f t="shared" si="12"/>
        <v>43538</v>
      </c>
      <c r="V18" s="95">
        <f>VLOOKUP(U18,'Série IPCA'!$B$3:$C$323,2,FALSE)</f>
        <v>0.84</v>
      </c>
      <c r="W18" s="27">
        <f>NETWORKDAYS(IF(S17="",T17,S17),IF(S18&lt;&gt;"",WORKDAY(S18-1,1,Feriados!$B$3:$B$626),T18),Feriados!$B$3:$B$626)-1</f>
        <v>12</v>
      </c>
      <c r="X18" s="27">
        <f>NETWORKDAYS(U18,T18,Feriados!$B$3:$B$626)-1</f>
        <v>22</v>
      </c>
      <c r="Y18" s="72">
        <f t="shared" si="13"/>
        <v>1.0045731065163936</v>
      </c>
      <c r="Z18" s="72">
        <f t="shared" si="4"/>
        <v>1.0013992927945006</v>
      </c>
      <c r="AA18" s="72">
        <f t="shared" si="5"/>
        <v>1.0009153815120539</v>
      </c>
      <c r="AB18" s="72">
        <f t="shared" si="14"/>
        <v>1.0157546967732061</v>
      </c>
      <c r="AC18" s="43">
        <f>IF(S18="",0,ROUND(R18*(AB18-1),2))</f>
        <v>3938.67</v>
      </c>
      <c r="AD18" s="7" t="s">
        <v>24</v>
      </c>
      <c r="AE18" s="53">
        <f>AE16+AC16</f>
        <v>58363.3</v>
      </c>
    </row>
    <row r="19" spans="1:31" x14ac:dyDescent="0.2">
      <c r="A19" s="95">
        <f t="shared" si="6"/>
        <v>250000</v>
      </c>
      <c r="B19" s="26"/>
      <c r="C19" s="26">
        <f>WORKDAY(EDATE(D19,1)-1,1,Feriados!$B$3:$B$626)</f>
        <v>43599</v>
      </c>
      <c r="D19" s="26">
        <f t="shared" si="7"/>
        <v>43569</v>
      </c>
      <c r="E19" s="95">
        <f>VLOOKUP(D19,'Série IPCA'!$B$3:$C$323,2,FALSE)</f>
        <v>0.71</v>
      </c>
      <c r="F19" s="27">
        <f>NETWORKDAYS(IF(B18="",C18,B18),IF(B19&lt;&gt;"",WORKDAY(B19-1,1,Feriados!$B$3:$B$626),C19),Feriados!$B$3:$B$626)-1</f>
        <v>18</v>
      </c>
      <c r="G19" s="27">
        <f>NETWORKDAYS(D19,C19,Feriados!$B$3:$B$626)-1</f>
        <v>18</v>
      </c>
      <c r="H19" s="72">
        <f t="shared" si="8"/>
        <v>1.0071000000000001</v>
      </c>
      <c r="I19" s="72">
        <f t="shared" si="1"/>
        <v>1.0020996732782224</v>
      </c>
      <c r="J19" s="72">
        <f t="shared" si="2"/>
        <v>1.0013733864414009</v>
      </c>
      <c r="K19" s="72">
        <f t="shared" si="9"/>
        <v>1.0324211508229078</v>
      </c>
      <c r="L19" s="45">
        <f t="shared" si="10"/>
        <v>0</v>
      </c>
      <c r="M19" s="7"/>
      <c r="N19" s="45"/>
      <c r="P19" s="36"/>
      <c r="R19" s="97">
        <f>+R18+AE18</f>
        <v>308363.3</v>
      </c>
      <c r="S19" s="26"/>
      <c r="T19" s="26">
        <f>WORKDAY(EDATE(U19,1)-1,1,Feriados!$B$3:$B$626)</f>
        <v>43571</v>
      </c>
      <c r="U19" s="26">
        <v>43538</v>
      </c>
      <c r="V19" s="95">
        <f>VLOOKUP(U19,'Série IPCA'!$B$3:$C$323,2,FALSE)</f>
        <v>0.84</v>
      </c>
      <c r="W19" s="27">
        <f>NETWORKDAYS(IF(S18="",T18,S18),IF(S19&lt;&gt;"",WORKDAY(S19-1,1,Feriados!$B$3:$B$626),T19),Feriados!$B$3:$B$626)-1</f>
        <v>10</v>
      </c>
      <c r="X19" s="27">
        <f>NETWORKDAYS(U19,T19,Feriados!$B$3:$B$626)-1</f>
        <v>22</v>
      </c>
      <c r="Y19" s="72">
        <f t="shared" si="13"/>
        <v>1.0038094723607294</v>
      </c>
      <c r="Z19" s="72">
        <f t="shared" si="4"/>
        <v>1.0011659414290535</v>
      </c>
      <c r="AA19" s="72">
        <f t="shared" si="5"/>
        <v>1.0007627597582966</v>
      </c>
      <c r="AB19" s="72">
        <f t="shared" si="14"/>
        <v>1.0057464136030376</v>
      </c>
      <c r="AC19" s="45">
        <f>IF(S19="",0,ROUND(R19*(AB19-1),2))</f>
        <v>0</v>
      </c>
      <c r="AD19" s="7"/>
      <c r="AE19" s="45"/>
    </row>
    <row r="20" spans="1:31" x14ac:dyDescent="0.2">
      <c r="A20" s="95">
        <f t="shared" si="6"/>
        <v>250000</v>
      </c>
      <c r="B20" s="26"/>
      <c r="C20" s="26">
        <f>WORKDAY(EDATE(D20,1)-1,1,Feriados!$B$3:$B$626)</f>
        <v>43630</v>
      </c>
      <c r="D20" s="26">
        <f t="shared" si="7"/>
        <v>43599</v>
      </c>
      <c r="E20" s="95">
        <f>VLOOKUP(D20,'Série IPCA'!$B$3:$C$323,2,FALSE)</f>
        <v>0.61</v>
      </c>
      <c r="F20" s="27">
        <f>NETWORKDAYS(IF(B19="",C19,B19),IF(B20&lt;&gt;"",WORKDAY(B20-1,1,Feriados!$B$3:$B$626),C20),Feriados!$B$3:$B$626)-1</f>
        <v>22</v>
      </c>
      <c r="G20" s="27">
        <f>NETWORKDAYS(D20,C20,Feriados!$B$3:$B$626)-1</f>
        <v>22</v>
      </c>
      <c r="H20" s="72">
        <f t="shared" si="8"/>
        <v>1.0061</v>
      </c>
      <c r="I20" s="72">
        <f t="shared" si="1"/>
        <v>1.0025668657169946</v>
      </c>
      <c r="J20" s="72">
        <f t="shared" si="2"/>
        <v>1.0016788394865317</v>
      </c>
      <c r="K20" s="72">
        <f t="shared" si="9"/>
        <v>1.0431334903750191</v>
      </c>
      <c r="L20" s="45">
        <f t="shared" si="10"/>
        <v>0</v>
      </c>
      <c r="M20" s="7"/>
      <c r="N20" s="45"/>
      <c r="P20" s="36"/>
      <c r="R20" s="95">
        <f t="shared" si="11"/>
        <v>308363.3</v>
      </c>
      <c r="S20" s="26"/>
      <c r="T20" s="26">
        <f>WORKDAY(EDATE(U20,1)-1,1,Feriados!$B$3:$B$626)</f>
        <v>43599</v>
      </c>
      <c r="U20" s="26">
        <f t="shared" si="12"/>
        <v>43569</v>
      </c>
      <c r="V20" s="95">
        <f>VLOOKUP(U20,'Série IPCA'!$B$3:$C$323,2,FALSE)</f>
        <v>0.71</v>
      </c>
      <c r="W20" s="27">
        <f>NETWORKDAYS(IF(S19="",T19,S19),IF(S20&lt;&gt;"",WORKDAY(S20-1,1,Feriados!$B$3:$B$626),T20),Feriados!$B$3:$B$626)-1</f>
        <v>18</v>
      </c>
      <c r="X20" s="27">
        <f>NETWORKDAYS(U20,T20,Feriados!$B$3:$B$626)-1</f>
        <v>18</v>
      </c>
      <c r="Y20" s="72">
        <f t="shared" si="13"/>
        <v>1.0071000000000001</v>
      </c>
      <c r="Z20" s="72">
        <f t="shared" si="4"/>
        <v>1.0020996732782224</v>
      </c>
      <c r="AA20" s="72">
        <f t="shared" si="5"/>
        <v>1.0013733864414009</v>
      </c>
      <c r="AB20" s="72">
        <f t="shared" si="14"/>
        <v>1.0164079517452851</v>
      </c>
      <c r="AC20" s="45">
        <f t="shared" ref="AC20:AC22" si="17">IF(S20="",0,ROUND(R20*(AB20-1),2))</f>
        <v>0</v>
      </c>
      <c r="AD20" s="7"/>
      <c r="AE20" s="45"/>
    </row>
    <row r="21" spans="1:31" x14ac:dyDescent="0.2">
      <c r="A21" s="95">
        <f t="shared" si="6"/>
        <v>250000</v>
      </c>
      <c r="B21" s="26"/>
      <c r="C21" s="26">
        <f>WORKDAY(EDATE(D21,1)-1,1,Feriados!$B$3:$B$626)</f>
        <v>43662</v>
      </c>
      <c r="D21" s="26">
        <f t="shared" si="7"/>
        <v>43630</v>
      </c>
      <c r="E21" s="95">
        <f>VLOOKUP(D21,'Série IPCA'!$B$3:$C$323,2,FALSE)</f>
        <v>0.23</v>
      </c>
      <c r="F21" s="27">
        <f>NETWORKDAYS(IF(B20="",C20,B20),IF(B21&lt;&gt;"",WORKDAY(B21-1,1,Feriados!$B$3:$B$626),C21),Feriados!$B$3:$B$626)-1</f>
        <v>22</v>
      </c>
      <c r="G21" s="27">
        <f>NETWORKDAYS(D21,C21,Feriados!$B$3:$B$626)-1</f>
        <v>22</v>
      </c>
      <c r="H21" s="72">
        <f t="shared" si="8"/>
        <v>1.0023</v>
      </c>
      <c r="I21" s="72">
        <f t="shared" si="1"/>
        <v>1.0025668657169946</v>
      </c>
      <c r="J21" s="72">
        <f t="shared" si="2"/>
        <v>1.0016788394865317</v>
      </c>
      <c r="K21" s="72">
        <f t="shared" si="9"/>
        <v>1.0499762265888051</v>
      </c>
      <c r="L21" s="45">
        <f t="shared" si="10"/>
        <v>0</v>
      </c>
      <c r="M21" s="7"/>
      <c r="N21" s="45"/>
      <c r="P21" s="36"/>
      <c r="R21" s="95">
        <f t="shared" si="11"/>
        <v>308363.3</v>
      </c>
      <c r="S21" s="26"/>
      <c r="T21" s="26">
        <f>WORKDAY(EDATE(U21,1)-1,1,Feriados!$B$3:$B$626)</f>
        <v>43630</v>
      </c>
      <c r="U21" s="26">
        <f t="shared" si="12"/>
        <v>43599</v>
      </c>
      <c r="V21" s="95">
        <f>VLOOKUP(U21,'Série IPCA'!$B$3:$C$323,2,FALSE)</f>
        <v>0.61</v>
      </c>
      <c r="W21" s="27">
        <f>NETWORKDAYS(IF(S20="",T20,S20),IF(S21&lt;&gt;"",WORKDAY(S21-1,1,Feriados!$B$3:$B$626),T21),Feriados!$B$3:$B$626)-1</f>
        <v>22</v>
      </c>
      <c r="X21" s="27">
        <f>NETWORKDAYS(U21,T21,Feriados!$B$3:$B$626)-1</f>
        <v>22</v>
      </c>
      <c r="Y21" s="72">
        <f t="shared" si="13"/>
        <v>1.0061</v>
      </c>
      <c r="Z21" s="72">
        <f t="shared" si="4"/>
        <v>1.0025668657169946</v>
      </c>
      <c r="AA21" s="72">
        <f t="shared" si="5"/>
        <v>1.0016788394865317</v>
      </c>
      <c r="AB21" s="72">
        <f t="shared" si="14"/>
        <v>1.026954139310198</v>
      </c>
      <c r="AC21" s="45">
        <f t="shared" si="17"/>
        <v>0</v>
      </c>
      <c r="AD21" s="7"/>
      <c r="AE21" s="45"/>
    </row>
    <row r="22" spans="1:31" x14ac:dyDescent="0.2">
      <c r="A22" s="95">
        <f t="shared" si="6"/>
        <v>250000</v>
      </c>
      <c r="B22" s="26">
        <f t="shared" si="0"/>
        <v>43691</v>
      </c>
      <c r="C22" s="26">
        <f>WORKDAY(EDATE(D22,1)-1,1,Feriados!$B$3:$B$626)</f>
        <v>43691</v>
      </c>
      <c r="D22" s="26">
        <f t="shared" si="7"/>
        <v>43660</v>
      </c>
      <c r="E22" s="95">
        <f>VLOOKUP(D22,'Série IPCA'!$B$3:$C$323,2,FALSE)</f>
        <v>-0.08</v>
      </c>
      <c r="F22" s="27">
        <f>NETWORKDAYS(IF(B21="",C21,B21),IF(B22&lt;&gt;"",WORKDAY(B22-1,1,Feriados!$B$3:$B$626),C22),Feriados!$B$3:$B$626)-1</f>
        <v>21</v>
      </c>
      <c r="G22" s="27">
        <f>NETWORKDAYS(D22,C22,Feriados!$B$3:$B$626)-1</f>
        <v>21</v>
      </c>
      <c r="H22" s="72">
        <f t="shared" si="8"/>
        <v>0.99919999999999998</v>
      </c>
      <c r="I22" s="72">
        <f t="shared" si="1"/>
        <v>1.0024500471914444</v>
      </c>
      <c r="J22" s="72">
        <f t="shared" si="2"/>
        <v>1.001602467491334</v>
      </c>
      <c r="K22" s="72">
        <f t="shared" si="9"/>
        <v>1.0533920046829144</v>
      </c>
      <c r="L22" s="45">
        <f t="shared" si="10"/>
        <v>13348</v>
      </c>
      <c r="M22" s="7">
        <v>5</v>
      </c>
      <c r="N22" s="45">
        <f>TRUNC(A22/M22,2)</f>
        <v>50000</v>
      </c>
      <c r="P22" s="36"/>
      <c r="R22" s="95">
        <f t="shared" si="11"/>
        <v>308363.3</v>
      </c>
      <c r="S22" s="26"/>
      <c r="T22" s="26">
        <f>WORKDAY(EDATE(U22,1)-1,1,Feriados!$B$3:$B$626)</f>
        <v>43662</v>
      </c>
      <c r="U22" s="26">
        <f t="shared" si="12"/>
        <v>43630</v>
      </c>
      <c r="V22" s="95">
        <f>VLOOKUP(U22,'Série IPCA'!$B$3:$C$323,2,FALSE)</f>
        <v>0.23</v>
      </c>
      <c r="W22" s="27">
        <f>NETWORKDAYS(IF(S21="",T21,S21),IF(S22&lt;&gt;"",WORKDAY(S22-1,1,Feriados!$B$3:$B$626),T22),Feriados!$B$3:$B$626)-1</f>
        <v>22</v>
      </c>
      <c r="X22" s="27">
        <f>NETWORKDAYS(U22,T22,Feriados!$B$3:$B$626)-1</f>
        <v>22</v>
      </c>
      <c r="Y22" s="72">
        <f t="shared" si="13"/>
        <v>1.0023</v>
      </c>
      <c r="Z22" s="72">
        <f t="shared" si="4"/>
        <v>1.0025668657169946</v>
      </c>
      <c r="AA22" s="72">
        <f t="shared" si="5"/>
        <v>1.0016788394865317</v>
      </c>
      <c r="AB22" s="72">
        <f t="shared" si="14"/>
        <v>1.033690742385255</v>
      </c>
      <c r="AC22" s="45">
        <f t="shared" si="17"/>
        <v>0</v>
      </c>
      <c r="AD22" s="7"/>
      <c r="AE22" s="45"/>
    </row>
    <row r="23" spans="1:31" x14ac:dyDescent="0.2">
      <c r="A23" s="95">
        <f t="shared" si="6"/>
        <v>200000</v>
      </c>
      <c r="B23" s="26"/>
      <c r="C23" s="26">
        <f>WORKDAY(EDATE(D23,1)-1,1,Feriados!$B$3:$B$626)</f>
        <v>43722</v>
      </c>
      <c r="D23" s="26">
        <f t="shared" si="7"/>
        <v>43691</v>
      </c>
      <c r="E23" s="95">
        <f>VLOOKUP(D23,'Série IPCA'!$B$3:$C$323,2,FALSE)</f>
        <v>0.12</v>
      </c>
      <c r="F23" s="27">
        <f>NETWORKDAYS(IF(B22="",C22,B22),IF(B23&lt;&gt;"",WORKDAY(B23-1,1,Feriados!$B$3:$B$626),C23),Feriados!$B$3:$B$626)-1</f>
        <v>22</v>
      </c>
      <c r="G23" s="27">
        <f>NETWORKDAYS(D23,C23,Feriados!$B$3:$B$626)-1</f>
        <v>22</v>
      </c>
      <c r="H23" s="72">
        <f t="shared" si="8"/>
        <v>1.0012000000000001</v>
      </c>
      <c r="I23" s="72">
        <f t="shared" si="1"/>
        <v>1.0025668657169946</v>
      </c>
      <c r="J23" s="72">
        <f t="shared" si="2"/>
        <v>1.0016788394865317</v>
      </c>
      <c r="K23" s="72">
        <f t="shared" si="9"/>
        <v>1.0054551145765196</v>
      </c>
      <c r="L23" s="45">
        <f t="shared" si="10"/>
        <v>0</v>
      </c>
      <c r="M23" s="7"/>
      <c r="N23" s="45"/>
      <c r="P23" s="36"/>
      <c r="R23" s="95">
        <f t="shared" si="11"/>
        <v>308363.3</v>
      </c>
      <c r="S23" s="26">
        <f>T23</f>
        <v>43691</v>
      </c>
      <c r="T23" s="26">
        <f>WORKDAY(EDATE(U23,1)-1,1,Feriados!$B$3:$B$626)</f>
        <v>43691</v>
      </c>
      <c r="U23" s="26">
        <f t="shared" si="12"/>
        <v>43660</v>
      </c>
      <c r="V23" s="95">
        <f>VLOOKUP(U23,'Série IPCA'!$B$3:$C$323,2,FALSE)</f>
        <v>-0.08</v>
      </c>
      <c r="W23" s="27">
        <f>NETWORKDAYS(IF(S22="",T22,S22),IF(S23&lt;&gt;"",WORKDAY(S23-1,1,Feriados!$B$3:$B$626),T23),Feriados!$B$3:$B$626)-1</f>
        <v>21</v>
      </c>
      <c r="X23" s="27">
        <f>NETWORKDAYS(U23,T23,Feriados!$B$3:$B$626)-1</f>
        <v>21</v>
      </c>
      <c r="Y23" s="72">
        <f t="shared" si="13"/>
        <v>0.99919999999999998</v>
      </c>
      <c r="Z23" s="72">
        <f t="shared" si="4"/>
        <v>1.0024500471914444</v>
      </c>
      <c r="AA23" s="72">
        <f t="shared" si="5"/>
        <v>1.001602467491334</v>
      </c>
      <c r="AB23" s="72">
        <f t="shared" si="14"/>
        <v>1.0370535406129773</v>
      </c>
      <c r="AC23" s="45">
        <f>ROUND((R23+AC18)*(AB23-1),2)+AC18</f>
        <v>15510.56</v>
      </c>
      <c r="AD23" s="7">
        <v>7</v>
      </c>
      <c r="AE23" s="45">
        <f>TRUNC(R23/AD23,2)</f>
        <v>44051.9</v>
      </c>
    </row>
    <row r="24" spans="1:31" x14ac:dyDescent="0.2">
      <c r="A24" s="95">
        <f t="shared" si="6"/>
        <v>200000</v>
      </c>
      <c r="B24" s="26"/>
      <c r="C24" s="26">
        <f>WORKDAY(EDATE(D24,1)-1,1,Feriados!$B$3:$B$626)</f>
        <v>43753</v>
      </c>
      <c r="D24" s="26">
        <f t="shared" si="7"/>
        <v>43722</v>
      </c>
      <c r="E24" s="95">
        <f>VLOOKUP(D24,'Série IPCA'!$B$3:$C$323,2,FALSE)</f>
        <v>0.23</v>
      </c>
      <c r="F24" s="27">
        <f>NETWORKDAYS(IF(B23="",C23,B23),IF(B24&lt;&gt;"",WORKDAY(B24-1,1,Feriados!$B$3:$B$626),C24),Feriados!$B$3:$B$626)-1</f>
        <v>20</v>
      </c>
      <c r="G24" s="27">
        <f>NETWORKDAYS(D24,C24,Feriados!$B$3:$B$626)-1</f>
        <v>20</v>
      </c>
      <c r="H24" s="72">
        <f t="shared" si="8"/>
        <v>1.0023</v>
      </c>
      <c r="I24" s="72">
        <f t="shared" si="1"/>
        <v>1.0023332422775231</v>
      </c>
      <c r="J24" s="72">
        <f t="shared" si="2"/>
        <v>1.0015261013190424</v>
      </c>
      <c r="K24" s="72">
        <f t="shared" si="9"/>
        <v>1.0116605714335911</v>
      </c>
      <c r="L24" s="45">
        <f t="shared" si="10"/>
        <v>0</v>
      </c>
      <c r="M24" s="7"/>
      <c r="N24" s="45"/>
      <c r="P24" s="36"/>
      <c r="R24" s="95">
        <f t="shared" si="11"/>
        <v>264311.39999999997</v>
      </c>
      <c r="S24" s="26"/>
      <c r="T24" s="26">
        <f>WORKDAY(EDATE(U24,1)-1,1,Feriados!$B$3:$B$626)</f>
        <v>43722</v>
      </c>
      <c r="U24" s="26">
        <f t="shared" si="12"/>
        <v>43691</v>
      </c>
      <c r="V24" s="95">
        <f>VLOOKUP(U24,'Série IPCA'!$B$3:$C$323,2,FALSE)</f>
        <v>0.12</v>
      </c>
      <c r="W24" s="27">
        <f>NETWORKDAYS(IF(S23="",T23,S23),IF(S24&lt;&gt;"",WORKDAY(S24-1,1,Feriados!$B$3:$B$626),T24),Feriados!$B$3:$B$626)-1</f>
        <v>22</v>
      </c>
      <c r="X24" s="27">
        <f>NETWORKDAYS(U24,T24,Feriados!$B$3:$B$626)-1</f>
        <v>22</v>
      </c>
      <c r="Y24" s="72">
        <f t="shared" si="13"/>
        <v>1.0012000000000001</v>
      </c>
      <c r="Z24" s="72">
        <f t="shared" si="4"/>
        <v>1.0025668657169946</v>
      </c>
      <c r="AA24" s="72">
        <f t="shared" si="5"/>
        <v>1.0016788394865317</v>
      </c>
      <c r="AB24" s="72">
        <f t="shared" si="14"/>
        <v>1.0054551145765196</v>
      </c>
      <c r="AC24" s="45">
        <f>IF(S24="",0,ROUND(R24*(AB24-1),2))</f>
        <v>0</v>
      </c>
      <c r="AD24" s="7"/>
      <c r="AE24" s="45"/>
    </row>
    <row r="25" spans="1:31" x14ac:dyDescent="0.2">
      <c r="A25" s="95">
        <f t="shared" si="6"/>
        <v>200000</v>
      </c>
      <c r="B25" s="26"/>
      <c r="C25" s="26">
        <f>WORKDAY(EDATE(D25,1)-1,1,Feriados!$B$3:$B$626)</f>
        <v>43784</v>
      </c>
      <c r="D25" s="26">
        <f t="shared" si="7"/>
        <v>43752</v>
      </c>
      <c r="E25" s="95">
        <f>VLOOKUP(D25,'Série IPCA'!$B$3:$C$323,2,FALSE)</f>
        <v>0.26</v>
      </c>
      <c r="F25" s="27">
        <f>NETWORKDAYS(IF(B24="",C24,B24),IF(B25&lt;&gt;"",WORKDAY(B25-1,1,Feriados!$B$3:$B$626),C25),Feriados!$B$3:$B$626)-1</f>
        <v>21</v>
      </c>
      <c r="G25" s="27">
        <f>NETWORKDAYS(D25,C25,Feriados!$B$3:$B$626)-1</f>
        <v>21</v>
      </c>
      <c r="H25" s="72">
        <f t="shared" si="8"/>
        <v>1.0025999999999999</v>
      </c>
      <c r="I25" s="72">
        <f t="shared" si="1"/>
        <v>1.0024500471914444</v>
      </c>
      <c r="J25" s="72">
        <f t="shared" si="2"/>
        <v>1.001602467491334</v>
      </c>
      <c r="K25" s="72">
        <f t="shared" si="9"/>
        <v>1.0184052998680073</v>
      </c>
      <c r="L25" s="45">
        <f t="shared" si="10"/>
        <v>0</v>
      </c>
      <c r="M25" s="7"/>
      <c r="N25" s="45"/>
      <c r="P25" s="36"/>
      <c r="R25" s="95">
        <f t="shared" si="11"/>
        <v>264311.39999999997</v>
      </c>
      <c r="S25" s="26"/>
      <c r="T25" s="26">
        <f>WORKDAY(EDATE(U25,1)-1,1,Feriados!$B$3:$B$626)</f>
        <v>43753</v>
      </c>
      <c r="U25" s="26">
        <f t="shared" si="12"/>
        <v>43722</v>
      </c>
      <c r="V25" s="95">
        <f>VLOOKUP(U25,'Série IPCA'!$B$3:$C$323,2,FALSE)</f>
        <v>0.23</v>
      </c>
      <c r="W25" s="27">
        <f>NETWORKDAYS(IF(S24="",T24,S24),IF(S25&lt;&gt;"",WORKDAY(S25-1,1,Feriados!$B$3:$B$626),T25),Feriados!$B$3:$B$626)-1</f>
        <v>20</v>
      </c>
      <c r="X25" s="27">
        <f>NETWORKDAYS(U25,T25,Feriados!$B$3:$B$626)-1</f>
        <v>20</v>
      </c>
      <c r="Y25" s="72">
        <f t="shared" si="13"/>
        <v>1.0023</v>
      </c>
      <c r="Z25" s="72">
        <f t="shared" si="4"/>
        <v>1.0023332422775231</v>
      </c>
      <c r="AA25" s="72">
        <f t="shared" si="5"/>
        <v>1.0015261013190424</v>
      </c>
      <c r="AB25" s="72">
        <f t="shared" si="14"/>
        <v>1.0116605714335911</v>
      </c>
      <c r="AC25" s="45">
        <f t="shared" ref="AC25:AC29" si="18">IF(S25="",0,ROUND(R25*(AB25-1),2))</f>
        <v>0</v>
      </c>
      <c r="AD25" s="7"/>
      <c r="AE25" s="45"/>
    </row>
    <row r="26" spans="1:31" x14ac:dyDescent="0.2">
      <c r="A26" s="95">
        <f t="shared" si="6"/>
        <v>200000</v>
      </c>
      <c r="B26" s="26"/>
      <c r="C26" s="26">
        <f>WORKDAY(EDATE(D26,1)-1,1,Feriados!$B$3:$B$626)</f>
        <v>43813</v>
      </c>
      <c r="D26" s="26">
        <f t="shared" si="7"/>
        <v>43783</v>
      </c>
      <c r="E26" s="95">
        <f>VLOOKUP(D26,'Série IPCA'!$B$3:$C$323,2,FALSE)</f>
        <v>0.24</v>
      </c>
      <c r="F26" s="27">
        <f>NETWORKDAYS(IF(B25="",C25,B25),IF(B26&lt;&gt;"",WORKDAY(B26-1,1,Feriados!$B$3:$B$626),C26),Feriados!$B$3:$B$626)-1</f>
        <v>21</v>
      </c>
      <c r="G26" s="27">
        <f>NETWORKDAYS(D26,C26,Feriados!$B$3:$B$626)-1</f>
        <v>21</v>
      </c>
      <c r="H26" s="72">
        <f t="shared" si="8"/>
        <v>1.0024</v>
      </c>
      <c r="I26" s="72">
        <f t="shared" si="1"/>
        <v>1.0024500471914444</v>
      </c>
      <c r="J26" s="72">
        <f t="shared" si="2"/>
        <v>1.001602467491334</v>
      </c>
      <c r="K26" s="72">
        <f t="shared" si="9"/>
        <v>1.0249904880427867</v>
      </c>
      <c r="L26" s="45">
        <f t="shared" si="10"/>
        <v>0</v>
      </c>
      <c r="M26" s="7"/>
      <c r="N26" s="45"/>
      <c r="P26" s="36"/>
      <c r="R26" s="95">
        <f t="shared" si="11"/>
        <v>264311.39999999997</v>
      </c>
      <c r="S26" s="26"/>
      <c r="T26" s="26">
        <f>WORKDAY(EDATE(U26,1)-1,1,Feriados!$B$3:$B$626)</f>
        <v>43784</v>
      </c>
      <c r="U26" s="26">
        <f t="shared" si="12"/>
        <v>43752</v>
      </c>
      <c r="V26" s="95">
        <f>VLOOKUP(U26,'Série IPCA'!$B$3:$C$323,2,FALSE)</f>
        <v>0.26</v>
      </c>
      <c r="W26" s="27">
        <f>NETWORKDAYS(IF(S25="",T25,S25),IF(S26&lt;&gt;"",WORKDAY(S26-1,1,Feriados!$B$3:$B$626),T26),Feriados!$B$3:$B$626)-1</f>
        <v>21</v>
      </c>
      <c r="X26" s="27">
        <f>NETWORKDAYS(U26,T26,Feriados!$B$3:$B$626)-1</f>
        <v>21</v>
      </c>
      <c r="Y26" s="72">
        <f t="shared" si="13"/>
        <v>1.0025999999999999</v>
      </c>
      <c r="Z26" s="72">
        <f t="shared" si="4"/>
        <v>1.0024500471914444</v>
      </c>
      <c r="AA26" s="72">
        <f t="shared" si="5"/>
        <v>1.001602467491334</v>
      </c>
      <c r="AB26" s="72">
        <f t="shared" si="14"/>
        <v>1.0184052998680073</v>
      </c>
      <c r="AC26" s="45">
        <f t="shared" si="18"/>
        <v>0</v>
      </c>
      <c r="AD26" s="7"/>
      <c r="AE26" s="45"/>
    </row>
    <row r="27" spans="1:31" x14ac:dyDescent="0.2">
      <c r="A27" s="95">
        <f t="shared" si="6"/>
        <v>200000</v>
      </c>
      <c r="B27" s="26"/>
      <c r="C27" s="26">
        <f>WORKDAY(EDATE(D27,1)-1,1,Feriados!$B$3:$B$626)</f>
        <v>43844</v>
      </c>
      <c r="D27" s="26">
        <f t="shared" si="7"/>
        <v>43813</v>
      </c>
      <c r="E27" s="95">
        <f>VLOOKUP(D27,'Série IPCA'!$B$3:$C$323,2,FALSE)</f>
        <v>0.24</v>
      </c>
      <c r="F27" s="27">
        <f>NETWORKDAYS(IF(B26="",C26,B26),IF(B27&lt;&gt;"",WORKDAY(B27-1,1,Feriados!$B$3:$B$626),C27),Feriados!$B$3:$B$626)-1</f>
        <v>19</v>
      </c>
      <c r="G27" s="27">
        <f>NETWORKDAYS(D27,C27,Feriados!$B$3:$B$626)-1</f>
        <v>19</v>
      </c>
      <c r="H27" s="72">
        <f t="shared" si="8"/>
        <v>1.0024</v>
      </c>
      <c r="I27" s="72">
        <f t="shared" si="1"/>
        <v>1.0022164509736442</v>
      </c>
      <c r="J27" s="72">
        <f t="shared" si="2"/>
        <v>1.0014497409692127</v>
      </c>
      <c r="K27" s="72">
        <f t="shared" si="9"/>
        <v>1.0312205973171495</v>
      </c>
      <c r="L27" s="45">
        <f t="shared" si="10"/>
        <v>0</v>
      </c>
      <c r="M27" s="7"/>
      <c r="N27" s="45"/>
      <c r="P27" s="36"/>
      <c r="R27" s="95">
        <f t="shared" si="11"/>
        <v>264311.39999999997</v>
      </c>
      <c r="S27" s="26"/>
      <c r="T27" s="26">
        <f>WORKDAY(EDATE(U27,1)-1,1,Feriados!$B$3:$B$626)</f>
        <v>43813</v>
      </c>
      <c r="U27" s="26">
        <f t="shared" si="12"/>
        <v>43783</v>
      </c>
      <c r="V27" s="95">
        <f>VLOOKUP(U27,'Série IPCA'!$B$3:$C$323,2,FALSE)</f>
        <v>0.24</v>
      </c>
      <c r="W27" s="27">
        <f>NETWORKDAYS(IF(S26="",T26,S26),IF(S27&lt;&gt;"",WORKDAY(S27-1,1,Feriados!$B$3:$B$626),T27),Feriados!$B$3:$B$626)-1</f>
        <v>21</v>
      </c>
      <c r="X27" s="27">
        <f>NETWORKDAYS(U27,T27,Feriados!$B$3:$B$626)-1</f>
        <v>21</v>
      </c>
      <c r="Y27" s="72">
        <f t="shared" si="13"/>
        <v>1.0024</v>
      </c>
      <c r="Z27" s="72">
        <f t="shared" si="4"/>
        <v>1.0024500471914444</v>
      </c>
      <c r="AA27" s="72">
        <f t="shared" si="5"/>
        <v>1.001602467491334</v>
      </c>
      <c r="AB27" s="72">
        <f t="shared" si="14"/>
        <v>1.0249904880427867</v>
      </c>
      <c r="AC27" s="45">
        <f t="shared" si="18"/>
        <v>0</v>
      </c>
      <c r="AD27" s="7"/>
      <c r="AE27" s="45"/>
    </row>
    <row r="28" spans="1:31" x14ac:dyDescent="0.2">
      <c r="A28" s="95">
        <f t="shared" si="6"/>
        <v>200000</v>
      </c>
      <c r="B28" s="26">
        <f t="shared" ref="B28" si="19">C28</f>
        <v>43875</v>
      </c>
      <c r="C28" s="26">
        <f>WORKDAY(EDATE(D28,1)-1,1,Feriados!$B$3:$B$626)</f>
        <v>43875</v>
      </c>
      <c r="D28" s="26">
        <f t="shared" si="7"/>
        <v>43844</v>
      </c>
      <c r="E28" s="95">
        <f>VLOOKUP(D28,'Série IPCA'!$B$3:$C$323,2,FALSE)</f>
        <v>0.24</v>
      </c>
      <c r="F28" s="27">
        <f>NETWORKDAYS(IF(B27="",C27,B27),IF(B28&lt;&gt;"",WORKDAY(B28-1,1,Feriados!$B$3:$B$626),C28),Feriados!$B$3:$B$626)-1</f>
        <v>21</v>
      </c>
      <c r="G28" s="27">
        <f>NETWORKDAYS(D28,C28,Feriados!$B$3:$B$626)-1</f>
        <v>21</v>
      </c>
      <c r="H28" s="72">
        <f t="shared" si="8"/>
        <v>1.0024</v>
      </c>
      <c r="I28" s="72">
        <f t="shared" si="1"/>
        <v>1.0024500471914444</v>
      </c>
      <c r="J28" s="72">
        <f t="shared" si="2"/>
        <v>1.001602467491334</v>
      </c>
      <c r="K28" s="72">
        <f t="shared" si="9"/>
        <v>1.037888651464081</v>
      </c>
      <c r="L28" s="45">
        <f t="shared" si="10"/>
        <v>7577.73</v>
      </c>
      <c r="M28" s="7">
        <v>4</v>
      </c>
      <c r="N28" s="45">
        <f>TRUNC(A28/M28,2)</f>
        <v>50000</v>
      </c>
      <c r="P28" s="36"/>
      <c r="R28" s="95">
        <f t="shared" si="11"/>
        <v>264311.39999999997</v>
      </c>
      <c r="S28" s="26"/>
      <c r="T28" s="26">
        <f>WORKDAY(EDATE(U28,1)-1,1,Feriados!$B$3:$B$626)</f>
        <v>43844</v>
      </c>
      <c r="U28" s="26">
        <f t="shared" si="12"/>
        <v>43813</v>
      </c>
      <c r="V28" s="95">
        <f>VLOOKUP(U28,'Série IPCA'!$B$3:$C$323,2,FALSE)</f>
        <v>0.24</v>
      </c>
      <c r="W28" s="27">
        <f>NETWORKDAYS(IF(S27="",T27,S27),IF(S28&lt;&gt;"",WORKDAY(S28-1,1,Feriados!$B$3:$B$626),T28),Feriados!$B$3:$B$626)-1</f>
        <v>19</v>
      </c>
      <c r="X28" s="27">
        <f>NETWORKDAYS(U28,T28,Feriados!$B$3:$B$626)-1</f>
        <v>19</v>
      </c>
      <c r="Y28" s="72">
        <f t="shared" si="13"/>
        <v>1.0024</v>
      </c>
      <c r="Z28" s="72">
        <f t="shared" si="4"/>
        <v>1.0022164509736442</v>
      </c>
      <c r="AA28" s="72">
        <f t="shared" si="5"/>
        <v>1.0014497409692127</v>
      </c>
      <c r="AB28" s="72">
        <f t="shared" si="14"/>
        <v>1.0312205973171495</v>
      </c>
      <c r="AC28" s="45">
        <f t="shared" si="18"/>
        <v>0</v>
      </c>
      <c r="AD28" s="7"/>
      <c r="AE28" s="45"/>
    </row>
    <row r="29" spans="1:31" x14ac:dyDescent="0.2">
      <c r="A29" s="84"/>
      <c r="B29" s="84"/>
      <c r="C29" s="84"/>
      <c r="D29" s="84"/>
      <c r="E29" s="84"/>
      <c r="F29" s="84"/>
      <c r="G29" s="84"/>
      <c r="H29" s="16"/>
      <c r="I29" s="84"/>
      <c r="J29" s="84"/>
      <c r="K29" s="84"/>
      <c r="L29" s="84"/>
      <c r="M29" s="84"/>
      <c r="N29" s="84"/>
      <c r="P29" s="36"/>
      <c r="R29" s="95">
        <f t="shared" si="11"/>
        <v>264311.39999999997</v>
      </c>
      <c r="S29" s="26">
        <f>T29</f>
        <v>43875</v>
      </c>
      <c r="T29" s="26">
        <f>WORKDAY(EDATE(U29,1)-1,1,Feriados!$B$3:$B$626)</f>
        <v>43875</v>
      </c>
      <c r="U29" s="26">
        <f t="shared" si="12"/>
        <v>43844</v>
      </c>
      <c r="V29" s="95">
        <f>VLOOKUP(U29,'Série IPCA'!$B$3:$C$323,2,FALSE)</f>
        <v>0.24</v>
      </c>
      <c r="W29" s="27">
        <f>NETWORKDAYS(IF(S28="",T28,S28),IF(S29&lt;&gt;"",WORKDAY(S29-1,1,Feriados!$B$3:$B$626),T29),Feriados!$B$3:$B$626)-1</f>
        <v>21</v>
      </c>
      <c r="X29" s="27">
        <f>NETWORKDAYS(U29,T29,Feriados!$B$3:$B$626)-1</f>
        <v>21</v>
      </c>
      <c r="Y29" s="72">
        <f t="shared" si="13"/>
        <v>1.0024</v>
      </c>
      <c r="Z29" s="72">
        <f t="shared" si="4"/>
        <v>1.0024500471914444</v>
      </c>
      <c r="AA29" s="72">
        <f t="shared" si="5"/>
        <v>1.001602467491334</v>
      </c>
      <c r="AB29" s="72">
        <f t="shared" si="14"/>
        <v>1.037888651464081</v>
      </c>
      <c r="AC29" s="45">
        <f t="shared" si="18"/>
        <v>10014.4</v>
      </c>
      <c r="AD29" s="7">
        <v>6</v>
      </c>
      <c r="AE29" s="45">
        <f>TRUNC(R29/AD29,2)</f>
        <v>44051.9</v>
      </c>
    </row>
    <row r="30" spans="1:31" x14ac:dyDescent="0.2">
      <c r="A30" s="5" t="s">
        <v>11</v>
      </c>
      <c r="P30" s="36"/>
      <c r="R30" s="5" t="s">
        <v>11</v>
      </c>
    </row>
  </sheetData>
  <mergeCells count="21">
    <mergeCell ref="W7:W8"/>
    <mergeCell ref="X7:X8"/>
    <mergeCell ref="AD7:AE7"/>
    <mergeCell ref="Y7:AC7"/>
    <mergeCell ref="H7:L7"/>
    <mergeCell ref="U7:V7"/>
    <mergeCell ref="M7:N7"/>
    <mergeCell ref="R7:R8"/>
    <mergeCell ref="S7:S8"/>
    <mergeCell ref="T7:T8"/>
    <mergeCell ref="A7:A8"/>
    <mergeCell ref="B7:B8"/>
    <mergeCell ref="C7:C8"/>
    <mergeCell ref="F7:F8"/>
    <mergeCell ref="G7:G8"/>
    <mergeCell ref="D7:E7"/>
    <mergeCell ref="T3:U3"/>
    <mergeCell ref="V3:Y3"/>
    <mergeCell ref="Z3:AC3"/>
    <mergeCell ref="T4:U4"/>
    <mergeCell ref="V4:Y4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26"/>
  <sheetViews>
    <sheetView topLeftCell="A598" workbookViewId="0"/>
  </sheetViews>
  <sheetFormatPr defaultRowHeight="12.75" x14ac:dyDescent="0.2"/>
  <cols>
    <col min="2" max="2" width="14.42578125" customWidth="1"/>
  </cols>
  <sheetData>
    <row r="2" spans="2:2" x14ac:dyDescent="0.2">
      <c r="B2" s="1" t="s">
        <v>10</v>
      </c>
    </row>
    <row r="3" spans="2:2" ht="15" x14ac:dyDescent="0.2">
      <c r="B3" s="2">
        <v>38352</v>
      </c>
    </row>
    <row r="4" spans="2:2" ht="15" x14ac:dyDescent="0.2">
      <c r="B4" s="2">
        <v>38405</v>
      </c>
    </row>
    <row r="5" spans="2:2" ht="15" x14ac:dyDescent="0.2">
      <c r="B5" s="2">
        <v>38406</v>
      </c>
    </row>
    <row r="6" spans="2:2" ht="15" x14ac:dyDescent="0.2">
      <c r="B6" s="2">
        <v>38451</v>
      </c>
    </row>
    <row r="7" spans="2:2" ht="15" x14ac:dyDescent="0.2">
      <c r="B7" s="2">
        <v>38462</v>
      </c>
    </row>
    <row r="8" spans="2:2" ht="15" x14ac:dyDescent="0.2">
      <c r="B8" s="2">
        <v>38472</v>
      </c>
    </row>
    <row r="9" spans="2:2" ht="15" x14ac:dyDescent="0.2">
      <c r="B9" s="2">
        <v>38513</v>
      </c>
    </row>
    <row r="10" spans="2:2" ht="15" x14ac:dyDescent="0.2">
      <c r="B10" s="2">
        <v>38601</v>
      </c>
    </row>
    <row r="11" spans="2:2" ht="15" x14ac:dyDescent="0.2">
      <c r="B11" s="2">
        <v>38636</v>
      </c>
    </row>
    <row r="12" spans="2:2" ht="15" x14ac:dyDescent="0.2">
      <c r="B12" s="2">
        <v>38657</v>
      </c>
    </row>
    <row r="13" spans="2:2" ht="15" x14ac:dyDescent="0.2">
      <c r="B13" s="2">
        <v>38670</v>
      </c>
    </row>
    <row r="14" spans="2:2" ht="15" x14ac:dyDescent="0.2">
      <c r="B14" s="2">
        <v>38710</v>
      </c>
    </row>
    <row r="15" spans="2:2" ht="15" x14ac:dyDescent="0.2">
      <c r="B15" s="2">
        <v>38717</v>
      </c>
    </row>
    <row r="16" spans="2:2" ht="15" x14ac:dyDescent="0.2">
      <c r="B16" s="2">
        <v>38762</v>
      </c>
    </row>
    <row r="17" spans="2:2" ht="15" x14ac:dyDescent="0.2">
      <c r="B17" s="2">
        <v>38763</v>
      </c>
    </row>
    <row r="18" spans="2:2" ht="15" x14ac:dyDescent="0.2">
      <c r="B18" s="2">
        <v>38808</v>
      </c>
    </row>
    <row r="19" spans="2:2" ht="15" x14ac:dyDescent="0.2">
      <c r="B19" s="2">
        <v>38827</v>
      </c>
    </row>
    <row r="20" spans="2:2" ht="15" x14ac:dyDescent="0.2">
      <c r="B20" s="2">
        <v>38837</v>
      </c>
    </row>
    <row r="21" spans="2:2" ht="15" x14ac:dyDescent="0.2">
      <c r="B21" s="2">
        <v>38870</v>
      </c>
    </row>
    <row r="22" spans="2:2" ht="15" x14ac:dyDescent="0.2">
      <c r="B22" s="2">
        <v>38966</v>
      </c>
    </row>
    <row r="23" spans="2:2" ht="15" x14ac:dyDescent="0.2">
      <c r="B23" s="2">
        <v>39001</v>
      </c>
    </row>
    <row r="24" spans="2:2" ht="15" x14ac:dyDescent="0.2">
      <c r="B24" s="2">
        <v>39022</v>
      </c>
    </row>
    <row r="25" spans="2:2" ht="15" x14ac:dyDescent="0.2">
      <c r="B25" s="2">
        <v>39035</v>
      </c>
    </row>
    <row r="26" spans="2:2" ht="15" x14ac:dyDescent="0.2">
      <c r="B26" s="2">
        <v>39075</v>
      </c>
    </row>
    <row r="27" spans="2:2" ht="15" x14ac:dyDescent="0.2">
      <c r="B27" s="2">
        <v>39082</v>
      </c>
    </row>
    <row r="28" spans="2:2" ht="15" x14ac:dyDescent="0.2">
      <c r="B28" s="2">
        <v>39147</v>
      </c>
    </row>
    <row r="29" spans="2:2" ht="15" x14ac:dyDescent="0.2">
      <c r="B29" s="2">
        <v>39148</v>
      </c>
    </row>
    <row r="30" spans="2:2" ht="15" x14ac:dyDescent="0.2">
      <c r="B30" s="2">
        <v>39192</v>
      </c>
    </row>
    <row r="31" spans="2:2" ht="15" x14ac:dyDescent="0.2">
      <c r="B31" s="2">
        <v>39193</v>
      </c>
    </row>
    <row r="32" spans="2:2" ht="15" x14ac:dyDescent="0.2">
      <c r="B32" s="2">
        <v>39202</v>
      </c>
    </row>
    <row r="33" spans="2:2" ht="15" x14ac:dyDescent="0.2">
      <c r="B33" s="2">
        <v>39255</v>
      </c>
    </row>
    <row r="34" spans="2:2" ht="15" x14ac:dyDescent="0.2">
      <c r="B34" s="2">
        <v>39331</v>
      </c>
    </row>
    <row r="35" spans="2:2" ht="15" x14ac:dyDescent="0.2">
      <c r="B35" s="2">
        <v>39366</v>
      </c>
    </row>
    <row r="36" spans="2:2" ht="15" x14ac:dyDescent="0.2">
      <c r="B36" s="2">
        <v>39387</v>
      </c>
    </row>
    <row r="37" spans="2:2" ht="15" x14ac:dyDescent="0.2">
      <c r="B37" s="2">
        <v>39400</v>
      </c>
    </row>
    <row r="38" spans="2:2" ht="15" x14ac:dyDescent="0.2">
      <c r="B38" s="2">
        <v>39440</v>
      </c>
    </row>
    <row r="39" spans="2:2" ht="15" x14ac:dyDescent="0.2">
      <c r="B39" s="2">
        <v>39447</v>
      </c>
    </row>
    <row r="40" spans="2:2" ht="15" x14ac:dyDescent="0.2">
      <c r="B40" s="2">
        <v>39497</v>
      </c>
    </row>
    <row r="41" spans="2:2" ht="15" x14ac:dyDescent="0.2">
      <c r="B41" s="2">
        <v>39498</v>
      </c>
    </row>
    <row r="42" spans="2:2" ht="15" x14ac:dyDescent="0.2">
      <c r="B42" s="2">
        <v>39543</v>
      </c>
    </row>
    <row r="43" spans="2:2" ht="15" x14ac:dyDescent="0.2">
      <c r="B43" s="2">
        <v>39558</v>
      </c>
    </row>
    <row r="44" spans="2:2" ht="15" x14ac:dyDescent="0.2">
      <c r="B44" s="2">
        <v>39568</v>
      </c>
    </row>
    <row r="45" spans="2:2" ht="15" x14ac:dyDescent="0.2">
      <c r="B45" s="2">
        <v>39605</v>
      </c>
    </row>
    <row r="46" spans="2:2" ht="15" x14ac:dyDescent="0.2">
      <c r="B46" s="2">
        <v>39697</v>
      </c>
    </row>
    <row r="47" spans="2:2" ht="15" x14ac:dyDescent="0.2">
      <c r="B47" s="2">
        <v>39732</v>
      </c>
    </row>
    <row r="48" spans="2:2" ht="15" x14ac:dyDescent="0.2">
      <c r="B48" s="2">
        <v>39753</v>
      </c>
    </row>
    <row r="49" spans="2:2" ht="15" x14ac:dyDescent="0.2">
      <c r="B49" s="2">
        <v>39766</v>
      </c>
    </row>
    <row r="50" spans="2:2" ht="15" x14ac:dyDescent="0.2">
      <c r="B50" s="2">
        <v>39806</v>
      </c>
    </row>
    <row r="51" spans="2:2" ht="15" x14ac:dyDescent="0.2">
      <c r="B51" s="2">
        <v>39813</v>
      </c>
    </row>
    <row r="52" spans="2:2" ht="15" x14ac:dyDescent="0.2">
      <c r="B52" s="2">
        <v>39854</v>
      </c>
    </row>
    <row r="53" spans="2:2" ht="15" x14ac:dyDescent="0.2">
      <c r="B53" s="2">
        <v>39855</v>
      </c>
    </row>
    <row r="54" spans="2:2" ht="15" x14ac:dyDescent="0.2">
      <c r="B54" s="2">
        <v>39900</v>
      </c>
    </row>
    <row r="55" spans="2:2" ht="15" x14ac:dyDescent="0.2">
      <c r="B55" s="2">
        <v>39923</v>
      </c>
    </row>
    <row r="56" spans="2:2" ht="15" x14ac:dyDescent="0.2">
      <c r="B56" s="2">
        <v>39933</v>
      </c>
    </row>
    <row r="57" spans="2:2" ht="15" x14ac:dyDescent="0.2">
      <c r="B57" s="2">
        <v>39962</v>
      </c>
    </row>
    <row r="58" spans="2:2" ht="15" x14ac:dyDescent="0.2">
      <c r="B58" s="2">
        <v>40062</v>
      </c>
    </row>
    <row r="59" spans="2:2" ht="15" x14ac:dyDescent="0.2">
      <c r="B59" s="2">
        <v>40097</v>
      </c>
    </row>
    <row r="60" spans="2:2" ht="15" x14ac:dyDescent="0.2">
      <c r="B60" s="2">
        <v>40118</v>
      </c>
    </row>
    <row r="61" spans="2:2" ht="15" x14ac:dyDescent="0.2">
      <c r="B61" s="2">
        <v>40131</v>
      </c>
    </row>
    <row r="62" spans="2:2" ht="15" x14ac:dyDescent="0.2">
      <c r="B62" s="2">
        <v>40171</v>
      </c>
    </row>
    <row r="63" spans="2:2" ht="15" x14ac:dyDescent="0.2">
      <c r="B63" s="2">
        <v>40178</v>
      </c>
    </row>
    <row r="64" spans="2:2" ht="15" x14ac:dyDescent="0.2">
      <c r="B64" s="2">
        <v>40239</v>
      </c>
    </row>
    <row r="65" spans="2:2" ht="15" x14ac:dyDescent="0.2">
      <c r="B65" s="2">
        <v>40240</v>
      </c>
    </row>
    <row r="66" spans="2:2" ht="15" x14ac:dyDescent="0.2">
      <c r="B66" s="2">
        <v>40285</v>
      </c>
    </row>
    <row r="67" spans="2:2" ht="15" x14ac:dyDescent="0.2">
      <c r="B67" s="2">
        <v>40288</v>
      </c>
    </row>
    <row r="68" spans="2:2" ht="15" x14ac:dyDescent="0.2">
      <c r="B68" s="2">
        <v>40298</v>
      </c>
    </row>
    <row r="69" spans="2:2" ht="15" x14ac:dyDescent="0.2">
      <c r="B69" s="2">
        <v>40347</v>
      </c>
    </row>
    <row r="70" spans="2:2" ht="15" x14ac:dyDescent="0.2">
      <c r="B70" s="2">
        <v>40427</v>
      </c>
    </row>
    <row r="71" spans="2:2" ht="15" x14ac:dyDescent="0.2">
      <c r="B71" s="2">
        <v>40462</v>
      </c>
    </row>
    <row r="72" spans="2:2" ht="15" x14ac:dyDescent="0.2">
      <c r="B72" s="2">
        <v>40483</v>
      </c>
    </row>
    <row r="73" spans="2:2" ht="15" x14ac:dyDescent="0.2">
      <c r="B73" s="2">
        <v>40496</v>
      </c>
    </row>
    <row r="74" spans="2:2" ht="15" x14ac:dyDescent="0.2">
      <c r="B74" s="2">
        <v>40536</v>
      </c>
    </row>
    <row r="75" spans="2:2" ht="15" x14ac:dyDescent="0.2">
      <c r="B75" s="2">
        <v>40543</v>
      </c>
    </row>
    <row r="76" spans="2:2" ht="15" x14ac:dyDescent="0.2">
      <c r="B76" s="2">
        <v>40589</v>
      </c>
    </row>
    <row r="77" spans="2:2" ht="15" x14ac:dyDescent="0.2">
      <c r="B77" s="2">
        <v>40590</v>
      </c>
    </row>
    <row r="78" spans="2:2" ht="15" x14ac:dyDescent="0.2">
      <c r="B78" s="2">
        <v>40635</v>
      </c>
    </row>
    <row r="79" spans="2:2" ht="15" x14ac:dyDescent="0.2">
      <c r="B79" s="2">
        <v>40653</v>
      </c>
    </row>
    <row r="80" spans="2:2" ht="15" x14ac:dyDescent="0.2">
      <c r="B80" s="2">
        <v>40663</v>
      </c>
    </row>
    <row r="81" spans="2:2" ht="15" x14ac:dyDescent="0.2">
      <c r="B81" s="2">
        <v>40697</v>
      </c>
    </row>
    <row r="82" spans="2:2" ht="15" x14ac:dyDescent="0.2">
      <c r="B82" s="2">
        <v>40792</v>
      </c>
    </row>
    <row r="83" spans="2:2" ht="15" x14ac:dyDescent="0.2">
      <c r="B83" s="2">
        <v>40827</v>
      </c>
    </row>
    <row r="84" spans="2:2" ht="15" x14ac:dyDescent="0.2">
      <c r="B84" s="2">
        <v>40848</v>
      </c>
    </row>
    <row r="85" spans="2:2" ht="15" x14ac:dyDescent="0.2">
      <c r="B85" s="2">
        <v>40861</v>
      </c>
    </row>
    <row r="86" spans="2:2" ht="15" x14ac:dyDescent="0.2">
      <c r="B86" s="2">
        <v>40901</v>
      </c>
    </row>
    <row r="87" spans="2:2" ht="15" x14ac:dyDescent="0.2">
      <c r="B87" s="2">
        <v>40908</v>
      </c>
    </row>
    <row r="88" spans="2:2" ht="15" x14ac:dyDescent="0.2">
      <c r="B88" s="2">
        <v>40946</v>
      </c>
    </row>
    <row r="89" spans="2:2" ht="15" x14ac:dyDescent="0.2">
      <c r="B89" s="2">
        <v>40947</v>
      </c>
    </row>
    <row r="90" spans="2:2" ht="15" x14ac:dyDescent="0.2">
      <c r="B90" s="2">
        <v>40992</v>
      </c>
    </row>
    <row r="91" spans="2:2" ht="15" x14ac:dyDescent="0.2">
      <c r="B91" s="2">
        <v>41019</v>
      </c>
    </row>
    <row r="92" spans="2:2" ht="15" x14ac:dyDescent="0.2">
      <c r="B92" s="2">
        <v>41029</v>
      </c>
    </row>
    <row r="93" spans="2:2" ht="15" x14ac:dyDescent="0.2">
      <c r="B93" s="2">
        <v>41054</v>
      </c>
    </row>
    <row r="94" spans="2:2" ht="15" x14ac:dyDescent="0.2">
      <c r="B94" s="2">
        <v>41158</v>
      </c>
    </row>
    <row r="95" spans="2:2" ht="15" x14ac:dyDescent="0.2">
      <c r="B95" s="2">
        <v>41193</v>
      </c>
    </row>
    <row r="96" spans="2:2" ht="15" x14ac:dyDescent="0.2">
      <c r="B96" s="2">
        <v>41214</v>
      </c>
    </row>
    <row r="97" spans="2:2" ht="15" x14ac:dyDescent="0.2">
      <c r="B97" s="2">
        <v>41227</v>
      </c>
    </row>
    <row r="98" spans="2:2" ht="15" x14ac:dyDescent="0.2">
      <c r="B98" s="2">
        <v>41267</v>
      </c>
    </row>
    <row r="99" spans="2:2" ht="15" x14ac:dyDescent="0.2">
      <c r="B99" s="2">
        <v>41274</v>
      </c>
    </row>
    <row r="100" spans="2:2" ht="15" x14ac:dyDescent="0.2">
      <c r="B100" s="2">
        <v>41331</v>
      </c>
    </row>
    <row r="101" spans="2:2" ht="15" x14ac:dyDescent="0.2">
      <c r="B101" s="2">
        <v>41332</v>
      </c>
    </row>
    <row r="102" spans="2:2" ht="15" x14ac:dyDescent="0.2">
      <c r="B102" s="2">
        <v>41377</v>
      </c>
    </row>
    <row r="103" spans="2:2" ht="15" x14ac:dyDescent="0.2">
      <c r="B103" s="2">
        <v>41384</v>
      </c>
    </row>
    <row r="104" spans="2:2" ht="15" x14ac:dyDescent="0.2">
      <c r="B104" s="2">
        <v>41394</v>
      </c>
    </row>
    <row r="105" spans="2:2" ht="15" x14ac:dyDescent="0.2">
      <c r="B105" s="2">
        <v>41439</v>
      </c>
    </row>
    <row r="106" spans="2:2" ht="15" x14ac:dyDescent="0.2">
      <c r="B106" s="2">
        <v>41523</v>
      </c>
    </row>
    <row r="107" spans="2:2" ht="15" x14ac:dyDescent="0.2">
      <c r="B107" s="2">
        <v>41558</v>
      </c>
    </row>
    <row r="108" spans="2:2" ht="15" x14ac:dyDescent="0.2">
      <c r="B108" s="2">
        <v>41579</v>
      </c>
    </row>
    <row r="109" spans="2:2" ht="15" x14ac:dyDescent="0.2">
      <c r="B109" s="2">
        <v>41592</v>
      </c>
    </row>
    <row r="110" spans="2:2" ht="15" x14ac:dyDescent="0.2">
      <c r="B110" s="2">
        <v>41632</v>
      </c>
    </row>
    <row r="111" spans="2:2" ht="15" x14ac:dyDescent="0.2">
      <c r="B111" s="2">
        <v>41639</v>
      </c>
    </row>
    <row r="112" spans="2:2" ht="15" x14ac:dyDescent="0.2">
      <c r="B112" s="2">
        <v>41681</v>
      </c>
    </row>
    <row r="113" spans="2:2" ht="15" x14ac:dyDescent="0.2">
      <c r="B113" s="2">
        <v>41682</v>
      </c>
    </row>
    <row r="114" spans="2:2" ht="15" x14ac:dyDescent="0.2">
      <c r="B114" s="2">
        <v>41727</v>
      </c>
    </row>
    <row r="115" spans="2:2" ht="15" x14ac:dyDescent="0.2">
      <c r="B115" s="2">
        <v>41749</v>
      </c>
    </row>
    <row r="116" spans="2:2" ht="15" x14ac:dyDescent="0.2">
      <c r="B116" s="2">
        <v>41759</v>
      </c>
    </row>
    <row r="117" spans="2:2" ht="15" x14ac:dyDescent="0.2">
      <c r="B117" s="2">
        <v>41789</v>
      </c>
    </row>
    <row r="118" spans="2:2" ht="15" x14ac:dyDescent="0.2">
      <c r="B118" s="2">
        <v>41888</v>
      </c>
    </row>
    <row r="119" spans="2:2" ht="15" x14ac:dyDescent="0.2">
      <c r="B119" s="2">
        <v>41923</v>
      </c>
    </row>
    <row r="120" spans="2:2" ht="15" x14ac:dyDescent="0.2">
      <c r="B120" s="2">
        <v>41944</v>
      </c>
    </row>
    <row r="121" spans="2:2" ht="15" x14ac:dyDescent="0.2">
      <c r="B121" s="2">
        <v>41957</v>
      </c>
    </row>
    <row r="122" spans="2:2" ht="15" x14ac:dyDescent="0.2">
      <c r="B122" s="2">
        <v>41997</v>
      </c>
    </row>
    <row r="123" spans="2:2" ht="15" x14ac:dyDescent="0.2">
      <c r="B123" s="2">
        <v>42004</v>
      </c>
    </row>
    <row r="124" spans="2:2" ht="15" x14ac:dyDescent="0.2">
      <c r="B124" s="2">
        <v>42066</v>
      </c>
    </row>
    <row r="125" spans="2:2" ht="15" x14ac:dyDescent="0.2">
      <c r="B125" s="2">
        <v>42067</v>
      </c>
    </row>
    <row r="126" spans="2:2" ht="15" x14ac:dyDescent="0.2">
      <c r="B126" s="2">
        <v>42112</v>
      </c>
    </row>
    <row r="127" spans="2:2" ht="15" x14ac:dyDescent="0.2">
      <c r="B127" s="2">
        <v>42114</v>
      </c>
    </row>
    <row r="128" spans="2:2" ht="15" x14ac:dyDescent="0.2">
      <c r="B128" s="2">
        <v>42124</v>
      </c>
    </row>
    <row r="129" spans="2:2" ht="15" x14ac:dyDescent="0.2">
      <c r="B129" s="2">
        <v>42174</v>
      </c>
    </row>
    <row r="130" spans="2:2" ht="15" x14ac:dyDescent="0.2">
      <c r="B130" s="2">
        <v>42253</v>
      </c>
    </row>
    <row r="131" spans="2:2" ht="15" x14ac:dyDescent="0.2">
      <c r="B131" s="2">
        <v>42288</v>
      </c>
    </row>
    <row r="132" spans="2:2" ht="15" x14ac:dyDescent="0.2">
      <c r="B132" s="2">
        <v>42309</v>
      </c>
    </row>
    <row r="133" spans="2:2" ht="15" x14ac:dyDescent="0.2">
      <c r="B133" s="2">
        <v>42322</v>
      </c>
    </row>
    <row r="134" spans="2:2" ht="15" x14ac:dyDescent="0.2">
      <c r="B134" s="2">
        <v>42362</v>
      </c>
    </row>
    <row r="135" spans="2:2" ht="15" x14ac:dyDescent="0.2">
      <c r="B135" s="2">
        <v>42369</v>
      </c>
    </row>
    <row r="136" spans="2:2" ht="15" x14ac:dyDescent="0.2">
      <c r="B136" s="2">
        <v>42423</v>
      </c>
    </row>
    <row r="137" spans="2:2" ht="15" x14ac:dyDescent="0.2">
      <c r="B137" s="2">
        <v>42424</v>
      </c>
    </row>
    <row r="138" spans="2:2" ht="15" x14ac:dyDescent="0.2">
      <c r="B138" s="2">
        <v>42469</v>
      </c>
    </row>
    <row r="139" spans="2:2" ht="15" x14ac:dyDescent="0.2">
      <c r="B139" s="2">
        <v>42480</v>
      </c>
    </row>
    <row r="140" spans="2:2" ht="15" x14ac:dyDescent="0.2">
      <c r="B140" s="2">
        <v>42490</v>
      </c>
    </row>
    <row r="141" spans="2:2" ht="15" x14ac:dyDescent="0.2">
      <c r="B141" s="2">
        <v>42531</v>
      </c>
    </row>
    <row r="142" spans="2:2" ht="15" x14ac:dyDescent="0.2">
      <c r="B142" s="2">
        <v>42619</v>
      </c>
    </row>
    <row r="143" spans="2:2" ht="15" x14ac:dyDescent="0.2">
      <c r="B143" s="2">
        <v>42654</v>
      </c>
    </row>
    <row r="144" spans="2:2" ht="15" x14ac:dyDescent="0.2">
      <c r="B144" s="2">
        <v>42675</v>
      </c>
    </row>
    <row r="145" spans="2:2" ht="15" x14ac:dyDescent="0.2">
      <c r="B145" s="2">
        <v>42688</v>
      </c>
    </row>
    <row r="146" spans="2:2" ht="15" x14ac:dyDescent="0.2">
      <c r="B146" s="2">
        <v>42728</v>
      </c>
    </row>
    <row r="147" spans="2:2" ht="15" x14ac:dyDescent="0.2">
      <c r="B147" s="2">
        <v>42735</v>
      </c>
    </row>
    <row r="148" spans="2:2" ht="15" x14ac:dyDescent="0.2">
      <c r="B148" s="2">
        <v>42780</v>
      </c>
    </row>
    <row r="149" spans="2:2" ht="15" x14ac:dyDescent="0.2">
      <c r="B149" s="2">
        <v>42781</v>
      </c>
    </row>
    <row r="150" spans="2:2" ht="15" x14ac:dyDescent="0.2">
      <c r="B150" s="2">
        <v>42826</v>
      </c>
    </row>
    <row r="151" spans="2:2" ht="15" x14ac:dyDescent="0.2">
      <c r="B151" s="2">
        <v>42845</v>
      </c>
    </row>
    <row r="152" spans="2:2" ht="15" x14ac:dyDescent="0.2">
      <c r="B152" s="2">
        <v>42855</v>
      </c>
    </row>
    <row r="153" spans="2:2" ht="15" x14ac:dyDescent="0.2">
      <c r="B153" s="2">
        <v>42888</v>
      </c>
    </row>
    <row r="154" spans="2:2" ht="15" x14ac:dyDescent="0.2">
      <c r="B154" s="2">
        <v>42984</v>
      </c>
    </row>
    <row r="155" spans="2:2" ht="15" x14ac:dyDescent="0.2">
      <c r="B155" s="2">
        <v>43019</v>
      </c>
    </row>
    <row r="156" spans="2:2" ht="15" x14ac:dyDescent="0.2">
      <c r="B156" s="2">
        <v>43040</v>
      </c>
    </row>
    <row r="157" spans="2:2" ht="15" x14ac:dyDescent="0.2">
      <c r="B157" s="2">
        <v>43053</v>
      </c>
    </row>
    <row r="158" spans="2:2" ht="15" x14ac:dyDescent="0.2">
      <c r="B158" s="2">
        <v>43093</v>
      </c>
    </row>
    <row r="159" spans="2:2" ht="15" x14ac:dyDescent="0.2">
      <c r="B159" s="2">
        <v>43100</v>
      </c>
    </row>
    <row r="160" spans="2:2" ht="15" x14ac:dyDescent="0.2">
      <c r="B160" s="2">
        <v>43158</v>
      </c>
    </row>
    <row r="161" spans="2:2" ht="15" x14ac:dyDescent="0.2">
      <c r="B161" s="2">
        <v>43159</v>
      </c>
    </row>
    <row r="162" spans="2:2" ht="15" x14ac:dyDescent="0.2">
      <c r="B162" s="2">
        <v>43204</v>
      </c>
    </row>
    <row r="163" spans="2:2" ht="15" x14ac:dyDescent="0.2">
      <c r="B163" s="2">
        <v>43210</v>
      </c>
    </row>
    <row r="164" spans="2:2" ht="15" x14ac:dyDescent="0.2">
      <c r="B164" s="2">
        <v>43220</v>
      </c>
    </row>
    <row r="165" spans="2:2" ht="15" x14ac:dyDescent="0.2">
      <c r="B165" s="2">
        <v>43266</v>
      </c>
    </row>
    <row r="166" spans="2:2" ht="15" x14ac:dyDescent="0.2">
      <c r="B166" s="2">
        <v>43349</v>
      </c>
    </row>
    <row r="167" spans="2:2" ht="15" x14ac:dyDescent="0.2">
      <c r="B167" s="2">
        <v>43384</v>
      </c>
    </row>
    <row r="168" spans="2:2" ht="15" x14ac:dyDescent="0.2">
      <c r="B168" s="2">
        <v>43405</v>
      </c>
    </row>
    <row r="169" spans="2:2" ht="15" x14ac:dyDescent="0.2">
      <c r="B169" s="2">
        <v>43418</v>
      </c>
    </row>
    <row r="170" spans="2:2" ht="15" x14ac:dyDescent="0.2">
      <c r="B170" s="2">
        <v>43458</v>
      </c>
    </row>
    <row r="171" spans="2:2" ht="15" x14ac:dyDescent="0.2">
      <c r="B171" s="2">
        <v>43465</v>
      </c>
    </row>
    <row r="172" spans="2:2" ht="15" x14ac:dyDescent="0.2">
      <c r="B172" s="2">
        <v>43515</v>
      </c>
    </row>
    <row r="173" spans="2:2" ht="15" x14ac:dyDescent="0.2">
      <c r="B173" s="2">
        <v>43516</v>
      </c>
    </row>
    <row r="174" spans="2:2" ht="15" x14ac:dyDescent="0.2">
      <c r="B174" s="2">
        <v>43561</v>
      </c>
    </row>
    <row r="175" spans="2:2" ht="15" x14ac:dyDescent="0.2">
      <c r="B175" s="2">
        <v>43575</v>
      </c>
    </row>
    <row r="176" spans="2:2" ht="15" x14ac:dyDescent="0.2">
      <c r="B176" s="2">
        <v>43585</v>
      </c>
    </row>
    <row r="177" spans="2:2" ht="15" x14ac:dyDescent="0.2">
      <c r="B177" s="2">
        <v>43623</v>
      </c>
    </row>
    <row r="178" spans="2:2" ht="15" x14ac:dyDescent="0.2">
      <c r="B178" s="2">
        <v>43714</v>
      </c>
    </row>
    <row r="179" spans="2:2" ht="15" x14ac:dyDescent="0.2">
      <c r="B179" s="2">
        <v>43749</v>
      </c>
    </row>
    <row r="180" spans="2:2" ht="15" x14ac:dyDescent="0.2">
      <c r="B180" s="2">
        <v>43770</v>
      </c>
    </row>
    <row r="181" spans="2:2" ht="15" x14ac:dyDescent="0.2">
      <c r="B181" s="2">
        <v>43783</v>
      </c>
    </row>
    <row r="182" spans="2:2" ht="15" x14ac:dyDescent="0.2">
      <c r="B182" s="2">
        <v>43823</v>
      </c>
    </row>
    <row r="183" spans="2:2" ht="15" x14ac:dyDescent="0.2">
      <c r="B183" s="2">
        <v>43830</v>
      </c>
    </row>
    <row r="184" spans="2:2" ht="15" x14ac:dyDescent="0.2">
      <c r="B184" s="2">
        <v>43872</v>
      </c>
    </row>
    <row r="185" spans="2:2" ht="15" x14ac:dyDescent="0.2">
      <c r="B185" s="2">
        <v>43873</v>
      </c>
    </row>
    <row r="186" spans="2:2" ht="15" x14ac:dyDescent="0.2">
      <c r="B186" s="2">
        <v>43918</v>
      </c>
    </row>
    <row r="187" spans="2:2" ht="15" x14ac:dyDescent="0.2">
      <c r="B187" s="2">
        <v>43941</v>
      </c>
    </row>
    <row r="188" spans="2:2" ht="15" x14ac:dyDescent="0.2">
      <c r="B188" s="2">
        <v>43951</v>
      </c>
    </row>
    <row r="189" spans="2:2" ht="15" x14ac:dyDescent="0.2">
      <c r="B189" s="2">
        <v>43980</v>
      </c>
    </row>
    <row r="190" spans="2:2" ht="15" x14ac:dyDescent="0.2">
      <c r="B190" s="2">
        <v>44080</v>
      </c>
    </row>
    <row r="191" spans="2:2" ht="15" x14ac:dyDescent="0.2">
      <c r="B191" s="2">
        <v>44115</v>
      </c>
    </row>
    <row r="192" spans="2:2" ht="15" x14ac:dyDescent="0.2">
      <c r="B192" s="2">
        <v>44136</v>
      </c>
    </row>
    <row r="193" spans="2:2" ht="15" x14ac:dyDescent="0.2">
      <c r="B193" s="2">
        <v>44149</v>
      </c>
    </row>
    <row r="194" spans="2:2" ht="15" x14ac:dyDescent="0.2">
      <c r="B194" s="2">
        <v>44189</v>
      </c>
    </row>
    <row r="195" spans="2:2" ht="15" x14ac:dyDescent="0.2">
      <c r="B195" s="2">
        <v>44196</v>
      </c>
    </row>
    <row r="196" spans="2:2" ht="15" x14ac:dyDescent="0.2">
      <c r="B196" s="2">
        <v>44257</v>
      </c>
    </row>
    <row r="197" spans="2:2" ht="15" x14ac:dyDescent="0.2">
      <c r="B197" s="2">
        <v>44258</v>
      </c>
    </row>
    <row r="198" spans="2:2" ht="15" x14ac:dyDescent="0.2">
      <c r="B198" s="2">
        <v>44303</v>
      </c>
    </row>
    <row r="199" spans="2:2" ht="15" x14ac:dyDescent="0.2">
      <c r="B199" s="2">
        <v>44306</v>
      </c>
    </row>
    <row r="200" spans="2:2" ht="15" x14ac:dyDescent="0.2">
      <c r="B200" s="2">
        <v>44316</v>
      </c>
    </row>
    <row r="201" spans="2:2" ht="15" x14ac:dyDescent="0.2">
      <c r="B201" s="2">
        <v>44365</v>
      </c>
    </row>
    <row r="202" spans="2:2" ht="15" x14ac:dyDescent="0.2">
      <c r="B202" s="2">
        <v>44445</v>
      </c>
    </row>
    <row r="203" spans="2:2" ht="15" x14ac:dyDescent="0.2">
      <c r="B203" s="2">
        <v>44480</v>
      </c>
    </row>
    <row r="204" spans="2:2" ht="15" x14ac:dyDescent="0.2">
      <c r="B204" s="2">
        <v>44501</v>
      </c>
    </row>
    <row r="205" spans="2:2" ht="15" x14ac:dyDescent="0.2">
      <c r="B205" s="2">
        <v>44514</v>
      </c>
    </row>
    <row r="206" spans="2:2" ht="15" x14ac:dyDescent="0.2">
      <c r="B206" s="2">
        <v>44554</v>
      </c>
    </row>
    <row r="207" spans="2:2" ht="15" x14ac:dyDescent="0.2">
      <c r="B207" s="2">
        <v>44561</v>
      </c>
    </row>
    <row r="208" spans="2:2" ht="15" x14ac:dyDescent="0.2">
      <c r="B208" s="2">
        <v>44607</v>
      </c>
    </row>
    <row r="209" spans="2:2" ht="15" x14ac:dyDescent="0.2">
      <c r="B209" s="2">
        <v>44608</v>
      </c>
    </row>
    <row r="210" spans="2:2" ht="15" x14ac:dyDescent="0.2">
      <c r="B210" s="2">
        <v>44653</v>
      </c>
    </row>
    <row r="211" spans="2:2" ht="15" x14ac:dyDescent="0.2">
      <c r="B211" s="2">
        <v>44671</v>
      </c>
    </row>
    <row r="212" spans="2:2" ht="15" x14ac:dyDescent="0.2">
      <c r="B212" s="2">
        <v>44681</v>
      </c>
    </row>
    <row r="213" spans="2:2" ht="15" x14ac:dyDescent="0.2">
      <c r="B213" s="2">
        <v>44715</v>
      </c>
    </row>
    <row r="214" spans="2:2" ht="15" x14ac:dyDescent="0.2">
      <c r="B214" s="2">
        <v>44810</v>
      </c>
    </row>
    <row r="215" spans="2:2" ht="15" x14ac:dyDescent="0.2">
      <c r="B215" s="2">
        <v>44845</v>
      </c>
    </row>
    <row r="216" spans="2:2" ht="15" x14ac:dyDescent="0.2">
      <c r="B216" s="2">
        <v>44866</v>
      </c>
    </row>
    <row r="217" spans="2:2" ht="15" x14ac:dyDescent="0.2">
      <c r="B217" s="2">
        <v>44879</v>
      </c>
    </row>
    <row r="218" spans="2:2" ht="15" x14ac:dyDescent="0.2">
      <c r="B218" s="2">
        <v>44919</v>
      </c>
    </row>
    <row r="219" spans="2:2" ht="15" x14ac:dyDescent="0.2">
      <c r="B219" s="2">
        <v>44926</v>
      </c>
    </row>
    <row r="220" spans="2:2" ht="15" x14ac:dyDescent="0.2">
      <c r="B220" s="2">
        <v>44964</v>
      </c>
    </row>
    <row r="221" spans="2:2" ht="15" x14ac:dyDescent="0.2">
      <c r="B221" s="2">
        <v>44965</v>
      </c>
    </row>
    <row r="222" spans="2:2" ht="15" x14ac:dyDescent="0.2">
      <c r="B222" s="2">
        <v>45010</v>
      </c>
    </row>
    <row r="223" spans="2:2" ht="15" x14ac:dyDescent="0.2">
      <c r="B223" s="2">
        <v>45036</v>
      </c>
    </row>
    <row r="224" spans="2:2" ht="15" x14ac:dyDescent="0.2">
      <c r="B224" s="2">
        <v>45046</v>
      </c>
    </row>
    <row r="225" spans="2:2" ht="15" x14ac:dyDescent="0.2">
      <c r="B225" s="2">
        <v>45072</v>
      </c>
    </row>
    <row r="226" spans="2:2" ht="15" x14ac:dyDescent="0.2">
      <c r="B226" s="2">
        <v>45175</v>
      </c>
    </row>
    <row r="227" spans="2:2" ht="15" x14ac:dyDescent="0.2">
      <c r="B227" s="2">
        <v>45210</v>
      </c>
    </row>
    <row r="228" spans="2:2" ht="15" x14ac:dyDescent="0.2">
      <c r="B228" s="2">
        <v>45231</v>
      </c>
    </row>
    <row r="229" spans="2:2" ht="15" x14ac:dyDescent="0.2">
      <c r="B229" s="2">
        <v>45244</v>
      </c>
    </row>
    <row r="230" spans="2:2" ht="15" x14ac:dyDescent="0.2">
      <c r="B230" s="2">
        <v>45284</v>
      </c>
    </row>
    <row r="231" spans="2:2" ht="15" x14ac:dyDescent="0.2">
      <c r="B231" s="2">
        <v>45291</v>
      </c>
    </row>
    <row r="232" spans="2:2" ht="15" x14ac:dyDescent="0.2">
      <c r="B232" s="2">
        <v>45349</v>
      </c>
    </row>
    <row r="233" spans="2:2" ht="15" x14ac:dyDescent="0.2">
      <c r="B233" s="2">
        <v>45350</v>
      </c>
    </row>
    <row r="234" spans="2:2" ht="15" x14ac:dyDescent="0.2">
      <c r="B234" s="2">
        <v>45395</v>
      </c>
    </row>
    <row r="235" spans="2:2" ht="15" x14ac:dyDescent="0.2">
      <c r="B235" s="2">
        <v>45402</v>
      </c>
    </row>
    <row r="236" spans="2:2" ht="15" x14ac:dyDescent="0.2">
      <c r="B236" s="2">
        <v>45412</v>
      </c>
    </row>
    <row r="237" spans="2:2" ht="15" x14ac:dyDescent="0.2">
      <c r="B237" s="2">
        <v>45457</v>
      </c>
    </row>
    <row r="238" spans="2:2" ht="15" x14ac:dyDescent="0.2">
      <c r="B238" s="2">
        <v>45541</v>
      </c>
    </row>
    <row r="239" spans="2:2" ht="15" x14ac:dyDescent="0.2">
      <c r="B239" s="2">
        <v>45576</v>
      </c>
    </row>
    <row r="240" spans="2:2" ht="15" x14ac:dyDescent="0.2">
      <c r="B240" s="2">
        <v>45597</v>
      </c>
    </row>
    <row r="241" spans="2:2" ht="15" x14ac:dyDescent="0.2">
      <c r="B241" s="2">
        <v>45610</v>
      </c>
    </row>
    <row r="242" spans="2:2" ht="15" x14ac:dyDescent="0.2">
      <c r="B242" s="2">
        <v>45650</v>
      </c>
    </row>
    <row r="243" spans="2:2" ht="15" x14ac:dyDescent="0.2">
      <c r="B243" s="2">
        <v>45657</v>
      </c>
    </row>
    <row r="244" spans="2:2" ht="15" x14ac:dyDescent="0.2">
      <c r="B244" s="2">
        <v>45699</v>
      </c>
    </row>
    <row r="245" spans="2:2" ht="15" x14ac:dyDescent="0.2">
      <c r="B245" s="2">
        <v>45700</v>
      </c>
    </row>
    <row r="246" spans="2:2" ht="15" x14ac:dyDescent="0.2">
      <c r="B246" s="2">
        <v>45745</v>
      </c>
    </row>
    <row r="247" spans="2:2" ht="15" x14ac:dyDescent="0.2">
      <c r="B247" s="2">
        <v>45767</v>
      </c>
    </row>
    <row r="248" spans="2:2" ht="15" x14ac:dyDescent="0.2">
      <c r="B248" s="2">
        <v>45777</v>
      </c>
    </row>
    <row r="249" spans="2:2" ht="15" x14ac:dyDescent="0.2">
      <c r="B249" s="2">
        <v>45807</v>
      </c>
    </row>
    <row r="250" spans="2:2" ht="15" x14ac:dyDescent="0.2">
      <c r="B250" s="2">
        <v>45906</v>
      </c>
    </row>
    <row r="251" spans="2:2" ht="15" x14ac:dyDescent="0.2">
      <c r="B251" s="2">
        <v>45941</v>
      </c>
    </row>
    <row r="252" spans="2:2" ht="15" x14ac:dyDescent="0.2">
      <c r="B252" s="2">
        <v>45962</v>
      </c>
    </row>
    <row r="253" spans="2:2" ht="15" x14ac:dyDescent="0.2">
      <c r="B253" s="2">
        <v>45975</v>
      </c>
    </row>
    <row r="254" spans="2:2" ht="15" x14ac:dyDescent="0.2">
      <c r="B254" s="2">
        <v>46015</v>
      </c>
    </row>
    <row r="255" spans="2:2" ht="15" x14ac:dyDescent="0.2">
      <c r="B255" s="2">
        <v>46022</v>
      </c>
    </row>
    <row r="256" spans="2:2" ht="15" x14ac:dyDescent="0.2">
      <c r="B256" s="2">
        <v>46084</v>
      </c>
    </row>
    <row r="257" spans="2:2" ht="15" x14ac:dyDescent="0.2">
      <c r="B257" s="2">
        <v>46085</v>
      </c>
    </row>
    <row r="258" spans="2:2" ht="15" x14ac:dyDescent="0.2">
      <c r="B258" s="2">
        <v>46130</v>
      </c>
    </row>
    <row r="259" spans="2:2" ht="15" x14ac:dyDescent="0.2">
      <c r="B259" s="2">
        <v>46132</v>
      </c>
    </row>
    <row r="260" spans="2:2" ht="15" x14ac:dyDescent="0.2">
      <c r="B260" s="2">
        <v>46142</v>
      </c>
    </row>
    <row r="261" spans="2:2" ht="15" x14ac:dyDescent="0.2">
      <c r="B261" s="2">
        <v>46192</v>
      </c>
    </row>
    <row r="262" spans="2:2" ht="15" x14ac:dyDescent="0.2">
      <c r="B262" s="2">
        <v>46271</v>
      </c>
    </row>
    <row r="263" spans="2:2" ht="15" x14ac:dyDescent="0.2">
      <c r="B263" s="2">
        <v>46306</v>
      </c>
    </row>
    <row r="264" spans="2:2" ht="15" x14ac:dyDescent="0.2">
      <c r="B264" s="2">
        <v>46327</v>
      </c>
    </row>
    <row r="265" spans="2:2" ht="15" x14ac:dyDescent="0.2">
      <c r="B265" s="2">
        <v>46340</v>
      </c>
    </row>
    <row r="266" spans="2:2" ht="15" x14ac:dyDescent="0.2">
      <c r="B266" s="2">
        <v>46380</v>
      </c>
    </row>
    <row r="267" spans="2:2" ht="15" x14ac:dyDescent="0.2">
      <c r="B267" s="2">
        <v>46387</v>
      </c>
    </row>
    <row r="268" spans="2:2" ht="15" x14ac:dyDescent="0.2">
      <c r="B268" s="2">
        <v>46441</v>
      </c>
    </row>
    <row r="269" spans="2:2" ht="15" x14ac:dyDescent="0.2">
      <c r="B269" s="2">
        <v>46442</v>
      </c>
    </row>
    <row r="270" spans="2:2" ht="15" x14ac:dyDescent="0.2">
      <c r="B270" s="2">
        <v>46487</v>
      </c>
    </row>
    <row r="271" spans="2:2" ht="15" x14ac:dyDescent="0.2">
      <c r="B271" s="2">
        <v>46497</v>
      </c>
    </row>
    <row r="272" spans="2:2" ht="15" x14ac:dyDescent="0.2">
      <c r="B272" s="2">
        <v>46507</v>
      </c>
    </row>
    <row r="273" spans="2:2" ht="15" x14ac:dyDescent="0.2">
      <c r="B273" s="2">
        <v>46549</v>
      </c>
    </row>
    <row r="274" spans="2:2" ht="15" x14ac:dyDescent="0.2">
      <c r="B274" s="2">
        <v>46636</v>
      </c>
    </row>
    <row r="275" spans="2:2" ht="15" x14ac:dyDescent="0.2">
      <c r="B275" s="2">
        <v>46671</v>
      </c>
    </row>
    <row r="276" spans="2:2" ht="15" x14ac:dyDescent="0.2">
      <c r="B276" s="2">
        <v>46692</v>
      </c>
    </row>
    <row r="277" spans="2:2" ht="15" x14ac:dyDescent="0.2">
      <c r="B277" s="2">
        <v>46705</v>
      </c>
    </row>
    <row r="278" spans="2:2" ht="15" x14ac:dyDescent="0.2">
      <c r="B278" s="2">
        <v>46745</v>
      </c>
    </row>
    <row r="279" spans="2:2" ht="15" x14ac:dyDescent="0.2">
      <c r="B279" s="2">
        <v>46752</v>
      </c>
    </row>
    <row r="280" spans="2:2" ht="15" x14ac:dyDescent="0.2">
      <c r="B280" s="2">
        <v>46791</v>
      </c>
    </row>
    <row r="281" spans="2:2" ht="15" x14ac:dyDescent="0.2">
      <c r="B281" s="2">
        <v>46792</v>
      </c>
    </row>
    <row r="282" spans="2:2" ht="15" x14ac:dyDescent="0.2">
      <c r="B282" s="2">
        <v>46837</v>
      </c>
    </row>
    <row r="283" spans="2:2" ht="15" x14ac:dyDescent="0.2">
      <c r="B283" s="2">
        <v>46863</v>
      </c>
    </row>
    <row r="284" spans="2:2" ht="15" x14ac:dyDescent="0.2">
      <c r="B284" s="2">
        <v>46873</v>
      </c>
    </row>
    <row r="285" spans="2:2" ht="15" x14ac:dyDescent="0.2">
      <c r="B285" s="2">
        <v>46899</v>
      </c>
    </row>
    <row r="286" spans="2:2" ht="15" x14ac:dyDescent="0.2">
      <c r="B286" s="2">
        <v>47002</v>
      </c>
    </row>
    <row r="287" spans="2:2" ht="15" x14ac:dyDescent="0.2">
      <c r="B287" s="2">
        <v>47037</v>
      </c>
    </row>
    <row r="288" spans="2:2" ht="15" x14ac:dyDescent="0.2">
      <c r="B288" s="2">
        <v>47058</v>
      </c>
    </row>
    <row r="289" spans="2:2" ht="15" x14ac:dyDescent="0.2">
      <c r="B289" s="2">
        <v>47071</v>
      </c>
    </row>
    <row r="290" spans="2:2" ht="15" x14ac:dyDescent="0.2">
      <c r="B290" s="2">
        <v>47111</v>
      </c>
    </row>
    <row r="291" spans="2:2" ht="15" x14ac:dyDescent="0.2">
      <c r="B291" s="2">
        <v>47118</v>
      </c>
    </row>
    <row r="292" spans="2:2" ht="15" x14ac:dyDescent="0.2">
      <c r="B292" s="2">
        <v>47176</v>
      </c>
    </row>
    <row r="293" spans="2:2" ht="15" x14ac:dyDescent="0.2">
      <c r="B293" s="2">
        <v>47177</v>
      </c>
    </row>
    <row r="294" spans="2:2" ht="15" x14ac:dyDescent="0.2">
      <c r="B294" s="2">
        <v>47222</v>
      </c>
    </row>
    <row r="295" spans="2:2" ht="15" x14ac:dyDescent="0.2">
      <c r="B295" s="2">
        <v>47228</v>
      </c>
    </row>
    <row r="296" spans="2:2" ht="15" x14ac:dyDescent="0.2">
      <c r="B296" s="2">
        <v>47238</v>
      </c>
    </row>
    <row r="297" spans="2:2" ht="15" x14ac:dyDescent="0.2">
      <c r="B297" s="2">
        <v>47284</v>
      </c>
    </row>
    <row r="298" spans="2:2" ht="15" x14ac:dyDescent="0.2">
      <c r="B298" s="2">
        <v>47367</v>
      </c>
    </row>
    <row r="299" spans="2:2" ht="15" x14ac:dyDescent="0.2">
      <c r="B299" s="2">
        <v>47402</v>
      </c>
    </row>
    <row r="300" spans="2:2" ht="15" x14ac:dyDescent="0.2">
      <c r="B300" s="2">
        <v>47423</v>
      </c>
    </row>
    <row r="301" spans="2:2" ht="15" x14ac:dyDescent="0.2">
      <c r="B301" s="2">
        <v>47436</v>
      </c>
    </row>
    <row r="302" spans="2:2" ht="15" x14ac:dyDescent="0.2">
      <c r="B302" s="2">
        <v>47476</v>
      </c>
    </row>
    <row r="303" spans="2:2" ht="15" x14ac:dyDescent="0.2">
      <c r="B303" s="2">
        <v>47483</v>
      </c>
    </row>
    <row r="304" spans="2:2" ht="15" x14ac:dyDescent="0.2">
      <c r="B304" s="2">
        <v>47533</v>
      </c>
    </row>
    <row r="305" spans="2:2" ht="15" x14ac:dyDescent="0.2">
      <c r="B305" s="2">
        <v>47534</v>
      </c>
    </row>
    <row r="306" spans="2:2" ht="15" x14ac:dyDescent="0.2">
      <c r="B306" s="2">
        <v>47579</v>
      </c>
    </row>
    <row r="307" spans="2:2" ht="15" x14ac:dyDescent="0.2">
      <c r="B307" s="2">
        <v>47593</v>
      </c>
    </row>
    <row r="308" spans="2:2" ht="15" x14ac:dyDescent="0.2">
      <c r="B308" s="2">
        <v>47603</v>
      </c>
    </row>
    <row r="309" spans="2:2" ht="15" x14ac:dyDescent="0.2">
      <c r="B309" s="2">
        <v>47641</v>
      </c>
    </row>
    <row r="310" spans="2:2" ht="15" x14ac:dyDescent="0.2">
      <c r="B310" s="2">
        <v>47732</v>
      </c>
    </row>
    <row r="311" spans="2:2" ht="15" x14ac:dyDescent="0.2">
      <c r="B311" s="2">
        <v>47767</v>
      </c>
    </row>
    <row r="312" spans="2:2" ht="15" x14ac:dyDescent="0.2">
      <c r="B312" s="2">
        <v>47788</v>
      </c>
    </row>
    <row r="313" spans="2:2" ht="15" x14ac:dyDescent="0.2">
      <c r="B313" s="2">
        <v>47801</v>
      </c>
    </row>
    <row r="314" spans="2:2" ht="15" x14ac:dyDescent="0.2">
      <c r="B314" s="2">
        <v>47841</v>
      </c>
    </row>
    <row r="315" spans="2:2" ht="15" x14ac:dyDescent="0.2">
      <c r="B315" s="2">
        <v>47848</v>
      </c>
    </row>
    <row r="316" spans="2:2" ht="15" x14ac:dyDescent="0.2">
      <c r="B316" s="2">
        <v>47883</v>
      </c>
    </row>
    <row r="317" spans="2:2" ht="15" x14ac:dyDescent="0.2">
      <c r="B317" s="2">
        <v>47884</v>
      </c>
    </row>
    <row r="318" spans="2:2" ht="15" x14ac:dyDescent="0.2">
      <c r="B318" s="2">
        <v>47929</v>
      </c>
    </row>
    <row r="319" spans="2:2" ht="15" x14ac:dyDescent="0.2">
      <c r="B319" s="2">
        <v>47958</v>
      </c>
    </row>
    <row r="320" spans="2:2" ht="15" x14ac:dyDescent="0.2">
      <c r="B320" s="2">
        <v>47968</v>
      </c>
    </row>
    <row r="321" spans="2:2" ht="15" x14ac:dyDescent="0.2">
      <c r="B321" s="2">
        <v>47991</v>
      </c>
    </row>
    <row r="322" spans="2:2" ht="15" x14ac:dyDescent="0.2">
      <c r="B322" s="2">
        <v>48097</v>
      </c>
    </row>
    <row r="323" spans="2:2" ht="15" x14ac:dyDescent="0.2">
      <c r="B323" s="2">
        <v>48132</v>
      </c>
    </row>
    <row r="324" spans="2:2" ht="15" x14ac:dyDescent="0.2">
      <c r="B324" s="2">
        <v>48153</v>
      </c>
    </row>
    <row r="325" spans="2:2" ht="15" x14ac:dyDescent="0.2">
      <c r="B325" s="2">
        <v>48166</v>
      </c>
    </row>
    <row r="326" spans="2:2" ht="15" x14ac:dyDescent="0.2">
      <c r="B326" s="2">
        <v>48206</v>
      </c>
    </row>
    <row r="327" spans="2:2" ht="15" x14ac:dyDescent="0.2">
      <c r="B327" s="2">
        <v>48213</v>
      </c>
    </row>
    <row r="328" spans="2:2" ht="15" x14ac:dyDescent="0.2">
      <c r="B328" s="2">
        <v>48268</v>
      </c>
    </row>
    <row r="329" spans="2:2" ht="15" x14ac:dyDescent="0.2">
      <c r="B329" s="2">
        <v>48269</v>
      </c>
    </row>
    <row r="330" spans="2:2" ht="15" x14ac:dyDescent="0.2">
      <c r="B330" s="2">
        <v>48314</v>
      </c>
    </row>
    <row r="331" spans="2:2" ht="15" x14ac:dyDescent="0.2">
      <c r="B331" s="2">
        <v>48324</v>
      </c>
    </row>
    <row r="332" spans="2:2" ht="15" x14ac:dyDescent="0.2">
      <c r="B332" s="2">
        <v>48334</v>
      </c>
    </row>
    <row r="333" spans="2:2" ht="15" x14ac:dyDescent="0.2">
      <c r="B333" s="2">
        <v>48376</v>
      </c>
    </row>
    <row r="334" spans="2:2" ht="15" x14ac:dyDescent="0.2">
      <c r="B334" s="2">
        <v>48463</v>
      </c>
    </row>
    <row r="335" spans="2:2" ht="15" x14ac:dyDescent="0.2">
      <c r="B335" s="2">
        <v>48498</v>
      </c>
    </row>
    <row r="336" spans="2:2" ht="15" x14ac:dyDescent="0.2">
      <c r="B336" s="2">
        <v>48519</v>
      </c>
    </row>
    <row r="337" spans="2:2" ht="15" x14ac:dyDescent="0.2">
      <c r="B337" s="2">
        <v>48532</v>
      </c>
    </row>
    <row r="338" spans="2:2" ht="15" x14ac:dyDescent="0.2">
      <c r="B338" s="2">
        <v>48572</v>
      </c>
    </row>
    <row r="339" spans="2:2" ht="15" x14ac:dyDescent="0.2">
      <c r="B339" s="2">
        <v>48579</v>
      </c>
    </row>
    <row r="340" spans="2:2" ht="15" x14ac:dyDescent="0.2">
      <c r="B340" s="2">
        <v>48625</v>
      </c>
    </row>
    <row r="341" spans="2:2" ht="15" x14ac:dyDescent="0.2">
      <c r="B341" s="2">
        <v>48626</v>
      </c>
    </row>
    <row r="342" spans="2:2" ht="15" x14ac:dyDescent="0.2">
      <c r="B342" s="2">
        <v>48671</v>
      </c>
    </row>
    <row r="343" spans="2:2" ht="15" x14ac:dyDescent="0.2">
      <c r="B343" s="2">
        <v>48689</v>
      </c>
    </row>
    <row r="344" spans="2:2" ht="15" x14ac:dyDescent="0.2">
      <c r="B344" s="2">
        <v>48699</v>
      </c>
    </row>
    <row r="345" spans="2:2" ht="15" x14ac:dyDescent="0.2">
      <c r="B345" s="2">
        <v>48733</v>
      </c>
    </row>
    <row r="346" spans="2:2" ht="15" x14ac:dyDescent="0.2">
      <c r="B346" s="2">
        <v>48828</v>
      </c>
    </row>
    <row r="347" spans="2:2" ht="15" x14ac:dyDescent="0.2">
      <c r="B347" s="2">
        <v>48863</v>
      </c>
    </row>
    <row r="348" spans="2:2" ht="15" x14ac:dyDescent="0.2">
      <c r="B348" s="2">
        <v>48884</v>
      </c>
    </row>
    <row r="349" spans="2:2" ht="15" x14ac:dyDescent="0.2">
      <c r="B349" s="2">
        <v>48897</v>
      </c>
    </row>
    <row r="350" spans="2:2" ht="15" x14ac:dyDescent="0.2">
      <c r="B350" s="2">
        <v>48937</v>
      </c>
    </row>
    <row r="351" spans="2:2" ht="15" x14ac:dyDescent="0.2">
      <c r="B351" s="2">
        <v>48944</v>
      </c>
    </row>
    <row r="352" spans="2:2" ht="15" x14ac:dyDescent="0.2">
      <c r="B352" s="2">
        <v>49010</v>
      </c>
    </row>
    <row r="353" spans="2:2" ht="15" x14ac:dyDescent="0.2">
      <c r="B353" s="2">
        <v>49011</v>
      </c>
    </row>
    <row r="354" spans="2:2" ht="15" x14ac:dyDescent="0.2">
      <c r="B354" s="2">
        <v>49056</v>
      </c>
    </row>
    <row r="355" spans="2:2" ht="15" x14ac:dyDescent="0.2">
      <c r="B355" s="2">
        <v>49054</v>
      </c>
    </row>
    <row r="356" spans="2:2" ht="15" x14ac:dyDescent="0.2">
      <c r="B356" s="2">
        <v>49064</v>
      </c>
    </row>
    <row r="357" spans="2:2" ht="15" x14ac:dyDescent="0.2">
      <c r="B357" s="2">
        <v>49118</v>
      </c>
    </row>
    <row r="358" spans="2:2" ht="15" x14ac:dyDescent="0.2">
      <c r="B358" s="2">
        <v>49193</v>
      </c>
    </row>
    <row r="359" spans="2:2" ht="15" x14ac:dyDescent="0.2">
      <c r="B359" s="2">
        <v>49228</v>
      </c>
    </row>
    <row r="360" spans="2:2" ht="15" x14ac:dyDescent="0.2">
      <c r="B360" s="2">
        <v>49249</v>
      </c>
    </row>
    <row r="361" spans="2:2" ht="15" x14ac:dyDescent="0.2">
      <c r="B361" s="2">
        <v>49262</v>
      </c>
    </row>
    <row r="362" spans="2:2" ht="15" x14ac:dyDescent="0.2">
      <c r="B362" s="2">
        <v>49302</v>
      </c>
    </row>
    <row r="363" spans="2:2" ht="15" x14ac:dyDescent="0.2">
      <c r="B363" s="2">
        <v>49309</v>
      </c>
    </row>
    <row r="364" spans="2:2" ht="15" x14ac:dyDescent="0.2">
      <c r="B364" s="2">
        <v>49360</v>
      </c>
    </row>
    <row r="365" spans="2:2" ht="15" x14ac:dyDescent="0.2">
      <c r="B365" s="2">
        <v>49361</v>
      </c>
    </row>
    <row r="366" spans="2:2" ht="15" x14ac:dyDescent="0.2">
      <c r="B366" s="2">
        <v>49406</v>
      </c>
    </row>
    <row r="367" spans="2:2" ht="15" x14ac:dyDescent="0.2">
      <c r="B367" s="2">
        <v>49419</v>
      </c>
    </row>
    <row r="368" spans="2:2" ht="15" x14ac:dyDescent="0.2">
      <c r="B368" s="2">
        <v>49429</v>
      </c>
    </row>
    <row r="369" spans="2:2" ht="15" x14ac:dyDescent="0.2">
      <c r="B369" s="2">
        <v>49468</v>
      </c>
    </row>
    <row r="370" spans="2:2" ht="15" x14ac:dyDescent="0.2">
      <c r="B370" s="2">
        <v>49558</v>
      </c>
    </row>
    <row r="371" spans="2:2" ht="15" x14ac:dyDescent="0.2">
      <c r="B371" s="2">
        <v>49593</v>
      </c>
    </row>
    <row r="372" spans="2:2" ht="15" x14ac:dyDescent="0.2">
      <c r="B372" s="2">
        <v>49614</v>
      </c>
    </row>
    <row r="373" spans="2:2" ht="15" x14ac:dyDescent="0.2">
      <c r="B373" s="2">
        <v>49627</v>
      </c>
    </row>
    <row r="374" spans="2:2" ht="15" x14ac:dyDescent="0.2">
      <c r="B374" s="2">
        <v>49667</v>
      </c>
    </row>
    <row r="375" spans="2:2" ht="15" x14ac:dyDescent="0.2">
      <c r="B375" s="2">
        <v>49674</v>
      </c>
    </row>
    <row r="376" spans="2:2" ht="15" x14ac:dyDescent="0.2">
      <c r="B376" s="2">
        <v>49717</v>
      </c>
    </row>
    <row r="377" spans="2:2" ht="15" x14ac:dyDescent="0.2">
      <c r="B377" s="2">
        <v>49718</v>
      </c>
    </row>
    <row r="378" spans="2:2" ht="15" x14ac:dyDescent="0.2">
      <c r="B378" s="2">
        <v>49763</v>
      </c>
    </row>
    <row r="379" spans="2:2" ht="15" x14ac:dyDescent="0.2">
      <c r="B379" s="2">
        <v>49785</v>
      </c>
    </row>
    <row r="380" spans="2:2" ht="15" x14ac:dyDescent="0.2">
      <c r="B380" s="2">
        <v>49795</v>
      </c>
    </row>
    <row r="381" spans="2:2" ht="15" x14ac:dyDescent="0.2">
      <c r="B381" s="2">
        <v>49825</v>
      </c>
    </row>
    <row r="382" spans="2:2" ht="15" x14ac:dyDescent="0.2">
      <c r="B382" s="2">
        <v>49924</v>
      </c>
    </row>
    <row r="383" spans="2:2" ht="15" x14ac:dyDescent="0.2">
      <c r="B383" s="2">
        <v>49959</v>
      </c>
    </row>
    <row r="384" spans="2:2" ht="15" x14ac:dyDescent="0.2">
      <c r="B384" s="2">
        <v>49980</v>
      </c>
    </row>
    <row r="385" spans="2:2" ht="15" x14ac:dyDescent="0.2">
      <c r="B385" s="2">
        <v>49993</v>
      </c>
    </row>
    <row r="386" spans="2:2" ht="15" x14ac:dyDescent="0.2">
      <c r="B386" s="2">
        <v>50033</v>
      </c>
    </row>
    <row r="387" spans="2:2" ht="15" x14ac:dyDescent="0.2">
      <c r="B387" s="2">
        <v>50040</v>
      </c>
    </row>
    <row r="388" spans="2:2" ht="15" x14ac:dyDescent="0.2">
      <c r="B388" s="2">
        <v>50102</v>
      </c>
    </row>
    <row r="389" spans="2:2" ht="15" x14ac:dyDescent="0.2">
      <c r="B389" s="2">
        <v>50103</v>
      </c>
    </row>
    <row r="390" spans="2:2" ht="15" x14ac:dyDescent="0.2">
      <c r="B390" s="2">
        <v>50148</v>
      </c>
    </row>
    <row r="391" spans="2:2" ht="15" x14ac:dyDescent="0.2">
      <c r="B391" s="2">
        <v>50150</v>
      </c>
    </row>
    <row r="392" spans="2:2" ht="15" x14ac:dyDescent="0.2">
      <c r="B392" s="2">
        <v>50160</v>
      </c>
    </row>
    <row r="393" spans="2:2" ht="15" x14ac:dyDescent="0.2">
      <c r="B393" s="2">
        <v>50210</v>
      </c>
    </row>
    <row r="394" spans="2:2" ht="15" x14ac:dyDescent="0.2">
      <c r="B394" s="2">
        <v>50289</v>
      </c>
    </row>
    <row r="395" spans="2:2" ht="15" x14ac:dyDescent="0.2">
      <c r="B395" s="2">
        <v>50324</v>
      </c>
    </row>
    <row r="396" spans="2:2" ht="15" x14ac:dyDescent="0.2">
      <c r="B396" s="2">
        <v>50345</v>
      </c>
    </row>
    <row r="397" spans="2:2" ht="15" x14ac:dyDescent="0.2">
      <c r="B397" s="2">
        <v>50358</v>
      </c>
    </row>
    <row r="398" spans="2:2" ht="15" x14ac:dyDescent="0.2">
      <c r="B398" s="2">
        <v>50398</v>
      </c>
    </row>
    <row r="399" spans="2:2" ht="15" x14ac:dyDescent="0.2">
      <c r="B399" s="2">
        <v>50405</v>
      </c>
    </row>
    <row r="400" spans="2:2" ht="15" x14ac:dyDescent="0.2">
      <c r="B400" s="2">
        <v>50452</v>
      </c>
    </row>
    <row r="401" spans="2:2" ht="15" x14ac:dyDescent="0.2">
      <c r="B401" s="2">
        <v>50453</v>
      </c>
    </row>
    <row r="402" spans="2:2" ht="15" x14ac:dyDescent="0.2">
      <c r="B402" s="2">
        <v>50498</v>
      </c>
    </row>
    <row r="403" spans="2:2" ht="15" x14ac:dyDescent="0.2">
      <c r="B403" s="2">
        <v>50515</v>
      </c>
    </row>
    <row r="404" spans="2:2" ht="15" x14ac:dyDescent="0.2">
      <c r="B404" s="2">
        <v>50525</v>
      </c>
    </row>
    <row r="405" spans="2:2" ht="15" x14ac:dyDescent="0.2">
      <c r="B405" s="2">
        <v>50560</v>
      </c>
    </row>
    <row r="406" spans="2:2" ht="15" x14ac:dyDescent="0.2">
      <c r="B406" s="2">
        <v>50654</v>
      </c>
    </row>
    <row r="407" spans="2:2" ht="15" x14ac:dyDescent="0.2">
      <c r="B407" s="2">
        <v>50689</v>
      </c>
    </row>
    <row r="408" spans="2:2" ht="15" x14ac:dyDescent="0.2">
      <c r="B408" s="2">
        <v>50710</v>
      </c>
    </row>
    <row r="409" spans="2:2" ht="15" x14ac:dyDescent="0.2">
      <c r="B409" s="2">
        <v>50723</v>
      </c>
    </row>
    <row r="410" spans="2:2" ht="15" x14ac:dyDescent="0.2">
      <c r="B410" s="2">
        <v>50763</v>
      </c>
    </row>
    <row r="411" spans="2:2" ht="15" x14ac:dyDescent="0.2">
      <c r="B411" s="2">
        <v>50770</v>
      </c>
    </row>
    <row r="412" spans="2:2" ht="15" x14ac:dyDescent="0.2">
      <c r="B412" s="2">
        <v>50809</v>
      </c>
    </row>
    <row r="413" spans="2:2" ht="15" x14ac:dyDescent="0.2">
      <c r="B413" s="2">
        <v>50810</v>
      </c>
    </row>
    <row r="414" spans="2:2" ht="15" x14ac:dyDescent="0.2">
      <c r="B414" s="2">
        <v>50855</v>
      </c>
    </row>
    <row r="415" spans="2:2" ht="15" x14ac:dyDescent="0.2">
      <c r="B415" s="2">
        <v>50880</v>
      </c>
    </row>
    <row r="416" spans="2:2" ht="15" x14ac:dyDescent="0.2">
      <c r="B416" s="2">
        <v>50890</v>
      </c>
    </row>
    <row r="417" spans="2:2" ht="15" x14ac:dyDescent="0.2">
      <c r="B417" s="2">
        <v>50917</v>
      </c>
    </row>
    <row r="418" spans="2:2" ht="15" x14ac:dyDescent="0.2">
      <c r="B418" s="2">
        <v>51019</v>
      </c>
    </row>
    <row r="419" spans="2:2" ht="15" x14ac:dyDescent="0.2">
      <c r="B419" s="2">
        <v>51054</v>
      </c>
    </row>
    <row r="420" spans="2:2" ht="15" x14ac:dyDescent="0.2">
      <c r="B420" s="2">
        <v>51075</v>
      </c>
    </row>
    <row r="421" spans="2:2" ht="15" x14ac:dyDescent="0.2">
      <c r="B421" s="2">
        <v>51088</v>
      </c>
    </row>
    <row r="422" spans="2:2" ht="15" x14ac:dyDescent="0.2">
      <c r="B422" s="2">
        <v>51128</v>
      </c>
    </row>
    <row r="423" spans="2:2" ht="15" x14ac:dyDescent="0.2">
      <c r="B423" s="2">
        <v>51135</v>
      </c>
    </row>
    <row r="424" spans="2:2" ht="15" x14ac:dyDescent="0.2">
      <c r="B424" s="2">
        <v>51194</v>
      </c>
    </row>
    <row r="425" spans="2:2" ht="15" x14ac:dyDescent="0.2">
      <c r="B425" s="2">
        <v>51195</v>
      </c>
    </row>
    <row r="426" spans="2:2" ht="15" x14ac:dyDescent="0.2">
      <c r="B426" s="2">
        <v>51240</v>
      </c>
    </row>
    <row r="427" spans="2:2" ht="15" x14ac:dyDescent="0.2">
      <c r="B427" s="2">
        <v>51246</v>
      </c>
    </row>
    <row r="428" spans="2:2" ht="15" x14ac:dyDescent="0.2">
      <c r="B428" s="2">
        <v>51256</v>
      </c>
    </row>
    <row r="429" spans="2:2" ht="15" x14ac:dyDescent="0.2">
      <c r="B429" s="2">
        <v>51302</v>
      </c>
    </row>
    <row r="430" spans="2:2" ht="15" x14ac:dyDescent="0.2">
      <c r="B430" s="2">
        <v>51385</v>
      </c>
    </row>
    <row r="431" spans="2:2" ht="15" x14ac:dyDescent="0.2">
      <c r="B431" s="2">
        <v>51420</v>
      </c>
    </row>
    <row r="432" spans="2:2" ht="15" x14ac:dyDescent="0.2">
      <c r="B432" s="2">
        <v>51441</v>
      </c>
    </row>
    <row r="433" spans="2:2" ht="15" x14ac:dyDescent="0.2">
      <c r="B433" s="2">
        <v>51454</v>
      </c>
    </row>
    <row r="434" spans="2:2" ht="15" x14ac:dyDescent="0.2">
      <c r="B434" s="2">
        <v>51494</v>
      </c>
    </row>
    <row r="435" spans="2:2" ht="15" x14ac:dyDescent="0.2">
      <c r="B435" s="2">
        <v>51501</v>
      </c>
    </row>
    <row r="436" spans="2:2" ht="15" x14ac:dyDescent="0.2">
      <c r="B436" s="2">
        <v>51551</v>
      </c>
    </row>
    <row r="437" spans="2:2" ht="15" x14ac:dyDescent="0.2">
      <c r="B437" s="2">
        <v>51552</v>
      </c>
    </row>
    <row r="438" spans="2:2" ht="15" x14ac:dyDescent="0.2">
      <c r="B438" s="2">
        <v>51597</v>
      </c>
    </row>
    <row r="439" spans="2:2" ht="15" x14ac:dyDescent="0.2">
      <c r="B439" s="2">
        <v>51611</v>
      </c>
    </row>
    <row r="440" spans="2:2" ht="15" x14ac:dyDescent="0.2">
      <c r="B440" s="2">
        <v>51621</v>
      </c>
    </row>
    <row r="441" spans="2:2" ht="15" x14ac:dyDescent="0.2">
      <c r="B441" s="2">
        <v>51659</v>
      </c>
    </row>
    <row r="442" spans="2:2" ht="15" x14ac:dyDescent="0.2">
      <c r="B442" s="2">
        <v>51750</v>
      </c>
    </row>
    <row r="443" spans="2:2" ht="15" x14ac:dyDescent="0.2">
      <c r="B443" s="2">
        <v>51785</v>
      </c>
    </row>
    <row r="444" spans="2:2" ht="15" x14ac:dyDescent="0.2">
      <c r="B444" s="2">
        <v>51806</v>
      </c>
    </row>
    <row r="445" spans="2:2" ht="15" x14ac:dyDescent="0.2">
      <c r="B445" s="2">
        <v>51819</v>
      </c>
    </row>
    <row r="446" spans="2:2" ht="15" x14ac:dyDescent="0.2">
      <c r="B446" s="2">
        <v>51859</v>
      </c>
    </row>
    <row r="447" spans="2:2" ht="15" x14ac:dyDescent="0.2">
      <c r="B447" s="2">
        <v>51866</v>
      </c>
    </row>
    <row r="448" spans="2:2" ht="15" x14ac:dyDescent="0.2">
      <c r="B448" s="2">
        <v>51901</v>
      </c>
    </row>
    <row r="449" spans="2:2" ht="15" x14ac:dyDescent="0.2">
      <c r="B449" s="2">
        <v>51902</v>
      </c>
    </row>
    <row r="450" spans="2:2" ht="15" x14ac:dyDescent="0.2">
      <c r="B450" s="2">
        <v>51947</v>
      </c>
    </row>
    <row r="451" spans="2:2" ht="15" x14ac:dyDescent="0.2">
      <c r="B451" s="2">
        <v>51976</v>
      </c>
    </row>
    <row r="452" spans="2:2" ht="15" x14ac:dyDescent="0.2">
      <c r="B452" s="2">
        <v>51986</v>
      </c>
    </row>
    <row r="453" spans="2:2" ht="15" x14ac:dyDescent="0.2">
      <c r="B453" s="2">
        <v>52009</v>
      </c>
    </row>
    <row r="454" spans="2:2" ht="15" x14ac:dyDescent="0.2">
      <c r="B454" s="2">
        <v>52115</v>
      </c>
    </row>
    <row r="455" spans="2:2" ht="15" x14ac:dyDescent="0.2">
      <c r="B455" s="2">
        <v>52150</v>
      </c>
    </row>
    <row r="456" spans="2:2" ht="15" x14ac:dyDescent="0.2">
      <c r="B456" s="2">
        <v>52171</v>
      </c>
    </row>
    <row r="457" spans="2:2" ht="15" x14ac:dyDescent="0.2">
      <c r="B457" s="2">
        <v>52184</v>
      </c>
    </row>
    <row r="458" spans="2:2" ht="15" x14ac:dyDescent="0.2">
      <c r="B458" s="2">
        <v>52224</v>
      </c>
    </row>
    <row r="459" spans="2:2" ht="15" x14ac:dyDescent="0.2">
      <c r="B459" s="2">
        <v>52231</v>
      </c>
    </row>
    <row r="460" spans="2:2" ht="15" x14ac:dyDescent="0.2">
      <c r="B460" s="2">
        <v>52286</v>
      </c>
    </row>
    <row r="461" spans="2:2" ht="15" x14ac:dyDescent="0.2">
      <c r="B461" s="2">
        <v>52287</v>
      </c>
    </row>
    <row r="462" spans="2:2" ht="15" x14ac:dyDescent="0.2">
      <c r="B462" s="2">
        <v>52332</v>
      </c>
    </row>
    <row r="463" spans="2:2" ht="15" x14ac:dyDescent="0.2">
      <c r="B463" s="2">
        <v>52341</v>
      </c>
    </row>
    <row r="464" spans="2:2" ht="15" x14ac:dyDescent="0.2">
      <c r="B464" s="2">
        <v>52351</v>
      </c>
    </row>
    <row r="465" spans="2:2" ht="15" x14ac:dyDescent="0.2">
      <c r="B465" s="2">
        <v>52394</v>
      </c>
    </row>
    <row r="466" spans="2:2" ht="15" x14ac:dyDescent="0.2">
      <c r="B466" s="2">
        <v>52480</v>
      </c>
    </row>
    <row r="467" spans="2:2" ht="15" x14ac:dyDescent="0.2">
      <c r="B467" s="2">
        <v>52515</v>
      </c>
    </row>
    <row r="468" spans="2:2" ht="15" x14ac:dyDescent="0.2">
      <c r="B468" s="2">
        <v>52536</v>
      </c>
    </row>
    <row r="469" spans="2:2" ht="15" x14ac:dyDescent="0.2">
      <c r="B469" s="2">
        <v>52549</v>
      </c>
    </row>
    <row r="470" spans="2:2" ht="15" x14ac:dyDescent="0.2">
      <c r="B470" s="2">
        <v>52589</v>
      </c>
    </row>
    <row r="471" spans="2:2" ht="15" x14ac:dyDescent="0.2">
      <c r="B471" s="2">
        <v>52596</v>
      </c>
    </row>
    <row r="472" spans="2:2" ht="15" x14ac:dyDescent="0.2">
      <c r="B472" s="2">
        <v>52643</v>
      </c>
    </row>
    <row r="473" spans="2:2" ht="15" x14ac:dyDescent="0.2">
      <c r="B473" s="2">
        <v>52644</v>
      </c>
    </row>
    <row r="474" spans="2:2" ht="15" x14ac:dyDescent="0.2">
      <c r="B474" s="2">
        <v>52689</v>
      </c>
    </row>
    <row r="475" spans="2:2" ht="15" x14ac:dyDescent="0.2">
      <c r="B475" s="2">
        <v>52707</v>
      </c>
    </row>
    <row r="476" spans="2:2" ht="15" x14ac:dyDescent="0.2">
      <c r="B476" s="2">
        <v>52717</v>
      </c>
    </row>
    <row r="477" spans="2:2" ht="15" x14ac:dyDescent="0.2">
      <c r="B477" s="2">
        <v>52751</v>
      </c>
    </row>
    <row r="478" spans="2:2" ht="15" x14ac:dyDescent="0.2">
      <c r="B478" s="2">
        <v>52846</v>
      </c>
    </row>
    <row r="479" spans="2:2" ht="15" x14ac:dyDescent="0.2">
      <c r="B479" s="2">
        <v>52881</v>
      </c>
    </row>
    <row r="480" spans="2:2" ht="15" x14ac:dyDescent="0.2">
      <c r="B480" s="2">
        <v>52902</v>
      </c>
    </row>
    <row r="481" spans="2:2" ht="15" x14ac:dyDescent="0.2">
      <c r="B481" s="2">
        <v>52915</v>
      </c>
    </row>
    <row r="482" spans="2:2" ht="15" x14ac:dyDescent="0.2">
      <c r="B482" s="2">
        <v>52955</v>
      </c>
    </row>
    <row r="483" spans="2:2" ht="15" x14ac:dyDescent="0.2">
      <c r="B483" s="2">
        <v>52962</v>
      </c>
    </row>
    <row r="484" spans="2:2" ht="15" x14ac:dyDescent="0.2">
      <c r="B484" s="2">
        <v>53028</v>
      </c>
    </row>
    <row r="485" spans="2:2" ht="15" x14ac:dyDescent="0.2">
      <c r="B485" s="2">
        <v>53029</v>
      </c>
    </row>
    <row r="486" spans="2:2" ht="15" x14ac:dyDescent="0.2">
      <c r="B486" s="2">
        <v>53074</v>
      </c>
    </row>
    <row r="487" spans="2:2" ht="15" x14ac:dyDescent="0.2">
      <c r="B487" s="2">
        <v>53072</v>
      </c>
    </row>
    <row r="488" spans="2:2" ht="15" x14ac:dyDescent="0.2">
      <c r="B488" s="2">
        <v>53082</v>
      </c>
    </row>
    <row r="489" spans="2:2" ht="15" x14ac:dyDescent="0.2">
      <c r="B489" s="2">
        <v>53136</v>
      </c>
    </row>
    <row r="490" spans="2:2" ht="15" x14ac:dyDescent="0.2">
      <c r="B490" s="2">
        <v>53211</v>
      </c>
    </row>
    <row r="491" spans="2:2" ht="15" x14ac:dyDescent="0.2">
      <c r="B491" s="2">
        <v>53246</v>
      </c>
    </row>
    <row r="492" spans="2:2" ht="15" x14ac:dyDescent="0.2">
      <c r="B492" s="2">
        <v>53267</v>
      </c>
    </row>
    <row r="493" spans="2:2" ht="15" x14ac:dyDescent="0.2">
      <c r="B493" s="2">
        <v>53280</v>
      </c>
    </row>
    <row r="494" spans="2:2" ht="15" x14ac:dyDescent="0.2">
      <c r="B494" s="2">
        <v>53320</v>
      </c>
    </row>
    <row r="495" spans="2:2" ht="15" x14ac:dyDescent="0.2">
      <c r="B495" s="2">
        <v>53327</v>
      </c>
    </row>
    <row r="496" spans="2:2" ht="15" x14ac:dyDescent="0.2">
      <c r="B496" s="2">
        <v>53378</v>
      </c>
    </row>
    <row r="497" spans="2:2" ht="15" x14ac:dyDescent="0.2">
      <c r="B497" s="2">
        <v>53379</v>
      </c>
    </row>
    <row r="498" spans="2:2" ht="15" x14ac:dyDescent="0.2">
      <c r="B498" s="2">
        <v>53424</v>
      </c>
    </row>
    <row r="499" spans="2:2" ht="15" x14ac:dyDescent="0.2">
      <c r="B499" s="2">
        <v>53437</v>
      </c>
    </row>
    <row r="500" spans="2:2" ht="15" x14ac:dyDescent="0.2">
      <c r="B500" s="2">
        <v>53447</v>
      </c>
    </row>
    <row r="501" spans="2:2" ht="15" x14ac:dyDescent="0.2">
      <c r="B501" s="2">
        <v>53486</v>
      </c>
    </row>
    <row r="502" spans="2:2" ht="15" x14ac:dyDescent="0.2">
      <c r="B502" s="2">
        <v>53576</v>
      </c>
    </row>
    <row r="503" spans="2:2" ht="15" x14ac:dyDescent="0.2">
      <c r="B503" s="2">
        <v>53611</v>
      </c>
    </row>
    <row r="504" spans="2:2" ht="15" x14ac:dyDescent="0.2">
      <c r="B504" s="2">
        <v>53632</v>
      </c>
    </row>
    <row r="505" spans="2:2" ht="15" x14ac:dyDescent="0.2">
      <c r="B505" s="2">
        <v>53645</v>
      </c>
    </row>
    <row r="506" spans="2:2" ht="15" x14ac:dyDescent="0.2">
      <c r="B506" s="2">
        <v>53685</v>
      </c>
    </row>
    <row r="507" spans="2:2" ht="15" x14ac:dyDescent="0.2">
      <c r="B507" s="2">
        <v>53692</v>
      </c>
    </row>
    <row r="508" spans="2:2" ht="15" x14ac:dyDescent="0.2">
      <c r="B508" s="2">
        <v>53735</v>
      </c>
    </row>
    <row r="509" spans="2:2" ht="15" x14ac:dyDescent="0.2">
      <c r="B509" s="2">
        <v>53736</v>
      </c>
    </row>
    <row r="510" spans="2:2" ht="15" x14ac:dyDescent="0.2">
      <c r="B510" s="2">
        <v>53781</v>
      </c>
    </row>
    <row r="511" spans="2:2" ht="15" x14ac:dyDescent="0.2">
      <c r="B511" s="2">
        <v>53802</v>
      </c>
    </row>
    <row r="512" spans="2:2" ht="15" x14ac:dyDescent="0.2">
      <c r="B512" s="2">
        <v>53812</v>
      </c>
    </row>
    <row r="513" spans="2:2" ht="15" x14ac:dyDescent="0.2">
      <c r="B513" s="2">
        <v>53843</v>
      </c>
    </row>
    <row r="514" spans="2:2" ht="15" x14ac:dyDescent="0.2">
      <c r="B514" s="2">
        <v>53941</v>
      </c>
    </row>
    <row r="515" spans="2:2" ht="15" x14ac:dyDescent="0.2">
      <c r="B515" s="2">
        <v>53976</v>
      </c>
    </row>
    <row r="516" spans="2:2" ht="15" x14ac:dyDescent="0.2">
      <c r="B516" s="2">
        <v>53997</v>
      </c>
    </row>
    <row r="517" spans="2:2" ht="15" x14ac:dyDescent="0.2">
      <c r="B517" s="2">
        <v>54010</v>
      </c>
    </row>
    <row r="518" spans="2:2" ht="15" x14ac:dyDescent="0.2">
      <c r="B518" s="2">
        <v>54050</v>
      </c>
    </row>
    <row r="519" spans="2:2" ht="15" x14ac:dyDescent="0.2">
      <c r="B519" s="2">
        <v>54057</v>
      </c>
    </row>
    <row r="520" spans="2:2" ht="15" x14ac:dyDescent="0.2">
      <c r="B520" s="2">
        <v>54120</v>
      </c>
    </row>
    <row r="521" spans="2:2" ht="15" x14ac:dyDescent="0.2">
      <c r="B521" s="2">
        <v>54121</v>
      </c>
    </row>
    <row r="522" spans="2:2" ht="15" x14ac:dyDescent="0.2">
      <c r="B522" s="2">
        <v>54166</v>
      </c>
    </row>
    <row r="523" spans="2:2" ht="15" x14ac:dyDescent="0.2">
      <c r="B523" s="2">
        <v>54168</v>
      </c>
    </row>
    <row r="524" spans="2:2" ht="15" x14ac:dyDescent="0.2">
      <c r="B524" s="2">
        <v>54178</v>
      </c>
    </row>
    <row r="525" spans="2:2" ht="15" x14ac:dyDescent="0.2">
      <c r="B525" s="2">
        <v>54228</v>
      </c>
    </row>
    <row r="526" spans="2:2" ht="15" x14ac:dyDescent="0.2">
      <c r="B526" s="2">
        <v>54307</v>
      </c>
    </row>
    <row r="527" spans="2:2" ht="15" x14ac:dyDescent="0.2">
      <c r="B527" s="2">
        <v>54342</v>
      </c>
    </row>
    <row r="528" spans="2:2" ht="15" x14ac:dyDescent="0.2">
      <c r="B528" s="2">
        <v>54363</v>
      </c>
    </row>
    <row r="529" spans="2:2" ht="15" x14ac:dyDescent="0.2">
      <c r="B529" s="2">
        <v>54376</v>
      </c>
    </row>
    <row r="530" spans="2:2" ht="15" x14ac:dyDescent="0.2">
      <c r="B530" s="2">
        <v>54416</v>
      </c>
    </row>
    <row r="531" spans="2:2" ht="15" x14ac:dyDescent="0.2">
      <c r="B531" s="2">
        <v>54423</v>
      </c>
    </row>
    <row r="532" spans="2:2" ht="15" x14ac:dyDescent="0.2">
      <c r="B532" s="2">
        <v>54470</v>
      </c>
    </row>
    <row r="533" spans="2:2" ht="15" x14ac:dyDescent="0.2">
      <c r="B533" s="2">
        <v>54471</v>
      </c>
    </row>
    <row r="534" spans="2:2" ht="15" x14ac:dyDescent="0.2">
      <c r="B534" s="2">
        <v>54516</v>
      </c>
    </row>
    <row r="535" spans="2:2" ht="15" x14ac:dyDescent="0.2">
      <c r="B535" s="2">
        <v>54533</v>
      </c>
    </row>
    <row r="536" spans="2:2" ht="15" x14ac:dyDescent="0.2">
      <c r="B536" s="2">
        <v>54543</v>
      </c>
    </row>
    <row r="537" spans="2:2" ht="15" x14ac:dyDescent="0.2">
      <c r="B537" s="2">
        <v>54578</v>
      </c>
    </row>
    <row r="538" spans="2:2" ht="15" x14ac:dyDescent="0.2">
      <c r="B538" s="2">
        <v>54672</v>
      </c>
    </row>
    <row r="539" spans="2:2" ht="15" x14ac:dyDescent="0.2">
      <c r="B539" s="2">
        <v>54707</v>
      </c>
    </row>
    <row r="540" spans="2:2" ht="15" x14ac:dyDescent="0.2">
      <c r="B540" s="2">
        <v>54728</v>
      </c>
    </row>
    <row r="541" spans="2:2" ht="15" x14ac:dyDescent="0.2">
      <c r="B541" s="2">
        <v>54741</v>
      </c>
    </row>
    <row r="542" spans="2:2" ht="15" x14ac:dyDescent="0.2">
      <c r="B542" s="2">
        <v>54781</v>
      </c>
    </row>
    <row r="543" spans="2:2" ht="15" x14ac:dyDescent="0.2">
      <c r="B543" s="2">
        <v>54788</v>
      </c>
    </row>
    <row r="544" spans="2:2" ht="15" x14ac:dyDescent="0.2">
      <c r="B544" s="2">
        <v>54827</v>
      </c>
    </row>
    <row r="545" spans="2:2" ht="15" x14ac:dyDescent="0.2">
      <c r="B545" s="2">
        <v>54828</v>
      </c>
    </row>
    <row r="546" spans="2:2" ht="15" x14ac:dyDescent="0.2">
      <c r="B546" s="2">
        <v>54873</v>
      </c>
    </row>
    <row r="547" spans="2:2" ht="15" x14ac:dyDescent="0.2">
      <c r="B547" s="2">
        <v>54898</v>
      </c>
    </row>
    <row r="548" spans="2:2" ht="15" x14ac:dyDescent="0.2">
      <c r="B548" s="2">
        <v>54908</v>
      </c>
    </row>
    <row r="549" spans="2:2" ht="15" x14ac:dyDescent="0.2">
      <c r="B549" s="2">
        <v>54935</v>
      </c>
    </row>
    <row r="550" spans="2:2" ht="15" x14ac:dyDescent="0.2">
      <c r="B550" s="2">
        <v>55037</v>
      </c>
    </row>
    <row r="551" spans="2:2" ht="15" x14ac:dyDescent="0.2">
      <c r="B551" s="2">
        <v>55072</v>
      </c>
    </row>
    <row r="552" spans="2:2" ht="15" x14ac:dyDescent="0.2">
      <c r="B552" s="2">
        <v>55093</v>
      </c>
    </row>
    <row r="553" spans="2:2" ht="15" x14ac:dyDescent="0.2">
      <c r="B553" s="2">
        <v>55106</v>
      </c>
    </row>
    <row r="554" spans="2:2" ht="15" x14ac:dyDescent="0.2">
      <c r="B554" s="2">
        <v>55146</v>
      </c>
    </row>
    <row r="555" spans="2:2" ht="15" x14ac:dyDescent="0.2">
      <c r="B555" s="2">
        <v>55153</v>
      </c>
    </row>
    <row r="556" spans="2:2" ht="15" x14ac:dyDescent="0.2">
      <c r="B556" s="2">
        <v>55212</v>
      </c>
    </row>
    <row r="557" spans="2:2" ht="15" x14ac:dyDescent="0.2">
      <c r="B557" s="2">
        <v>55213</v>
      </c>
    </row>
    <row r="558" spans="2:2" ht="15" x14ac:dyDescent="0.2">
      <c r="B558" s="2">
        <v>55258</v>
      </c>
    </row>
    <row r="559" spans="2:2" ht="15" x14ac:dyDescent="0.2">
      <c r="B559" s="2">
        <v>55263</v>
      </c>
    </row>
    <row r="560" spans="2:2" ht="15" x14ac:dyDescent="0.2">
      <c r="B560" s="2">
        <v>55273</v>
      </c>
    </row>
    <row r="561" spans="2:2" ht="15" x14ac:dyDescent="0.2">
      <c r="B561" s="2">
        <v>55320</v>
      </c>
    </row>
    <row r="562" spans="2:2" ht="15" x14ac:dyDescent="0.2">
      <c r="B562" s="2">
        <v>55402</v>
      </c>
    </row>
    <row r="563" spans="2:2" ht="15" x14ac:dyDescent="0.2">
      <c r="B563" s="2">
        <v>55437</v>
      </c>
    </row>
    <row r="564" spans="2:2" ht="15" x14ac:dyDescent="0.2">
      <c r="B564" s="2">
        <v>55458</v>
      </c>
    </row>
    <row r="565" spans="2:2" ht="15" x14ac:dyDescent="0.2">
      <c r="B565" s="2">
        <v>55471</v>
      </c>
    </row>
    <row r="566" spans="2:2" ht="15" x14ac:dyDescent="0.2">
      <c r="B566" s="2">
        <v>55511</v>
      </c>
    </row>
    <row r="567" spans="2:2" ht="15" x14ac:dyDescent="0.2">
      <c r="B567" s="2">
        <v>55518</v>
      </c>
    </row>
    <row r="568" spans="2:2" ht="15" x14ac:dyDescent="0.2">
      <c r="B568" s="2">
        <v>55562</v>
      </c>
    </row>
    <row r="569" spans="2:2" ht="15" x14ac:dyDescent="0.2">
      <c r="B569" s="2">
        <v>55563</v>
      </c>
    </row>
    <row r="570" spans="2:2" ht="15" x14ac:dyDescent="0.2">
      <c r="B570" s="2">
        <v>55608</v>
      </c>
    </row>
    <row r="571" spans="2:2" ht="15" x14ac:dyDescent="0.2">
      <c r="B571" s="2">
        <v>55629</v>
      </c>
    </row>
    <row r="572" spans="2:2" ht="15" x14ac:dyDescent="0.2">
      <c r="B572" s="2">
        <v>55639</v>
      </c>
    </row>
    <row r="573" spans="2:2" ht="15" x14ac:dyDescent="0.2">
      <c r="B573" s="2">
        <v>55670</v>
      </c>
    </row>
    <row r="574" spans="2:2" ht="15" x14ac:dyDescent="0.2">
      <c r="B574" s="2">
        <v>55768</v>
      </c>
    </row>
    <row r="575" spans="2:2" ht="15" x14ac:dyDescent="0.2">
      <c r="B575" s="2">
        <v>55803</v>
      </c>
    </row>
    <row r="576" spans="2:2" ht="15" x14ac:dyDescent="0.2">
      <c r="B576" s="2">
        <v>55824</v>
      </c>
    </row>
    <row r="577" spans="2:2" ht="15" x14ac:dyDescent="0.2">
      <c r="B577" s="2">
        <v>55837</v>
      </c>
    </row>
    <row r="578" spans="2:2" ht="15" x14ac:dyDescent="0.2">
      <c r="B578" s="2">
        <v>55877</v>
      </c>
    </row>
    <row r="579" spans="2:2" ht="15" x14ac:dyDescent="0.2">
      <c r="B579" s="2">
        <v>55884</v>
      </c>
    </row>
    <row r="580" spans="2:2" ht="15" x14ac:dyDescent="0.2">
      <c r="B580" s="2">
        <v>55947</v>
      </c>
    </row>
    <row r="581" spans="2:2" ht="15" x14ac:dyDescent="0.2">
      <c r="B581" s="2">
        <v>55948</v>
      </c>
    </row>
    <row r="582" spans="2:2" ht="15" x14ac:dyDescent="0.2">
      <c r="B582" s="2">
        <v>55993</v>
      </c>
    </row>
    <row r="583" spans="2:2" ht="15" x14ac:dyDescent="0.2">
      <c r="B583" s="2">
        <v>55994</v>
      </c>
    </row>
    <row r="584" spans="2:2" ht="15" x14ac:dyDescent="0.2">
      <c r="B584" s="2">
        <v>56004</v>
      </c>
    </row>
    <row r="585" spans="2:2" ht="15" x14ac:dyDescent="0.2">
      <c r="B585" s="2">
        <v>56055</v>
      </c>
    </row>
    <row r="586" spans="2:2" ht="15" x14ac:dyDescent="0.2">
      <c r="B586" s="2">
        <v>56133</v>
      </c>
    </row>
    <row r="587" spans="2:2" ht="15" x14ac:dyDescent="0.2">
      <c r="B587" s="2">
        <v>56168</v>
      </c>
    </row>
    <row r="588" spans="2:2" ht="15" x14ac:dyDescent="0.2">
      <c r="B588" s="2">
        <v>56189</v>
      </c>
    </row>
    <row r="589" spans="2:2" ht="15" x14ac:dyDescent="0.2">
      <c r="B589" s="2">
        <v>56202</v>
      </c>
    </row>
    <row r="590" spans="2:2" ht="15" x14ac:dyDescent="0.2">
      <c r="B590" s="2">
        <v>56242</v>
      </c>
    </row>
    <row r="591" spans="2:2" ht="15" x14ac:dyDescent="0.2">
      <c r="B591" s="2">
        <v>56249</v>
      </c>
    </row>
    <row r="592" spans="2:2" ht="15" x14ac:dyDescent="0.2">
      <c r="B592" s="2">
        <v>56304</v>
      </c>
    </row>
    <row r="593" spans="2:2" ht="15" x14ac:dyDescent="0.2">
      <c r="B593" s="2">
        <v>56305</v>
      </c>
    </row>
    <row r="594" spans="2:2" ht="15" x14ac:dyDescent="0.2">
      <c r="B594" s="2">
        <v>56350</v>
      </c>
    </row>
    <row r="595" spans="2:2" ht="15" x14ac:dyDescent="0.2">
      <c r="B595" s="2">
        <v>56359</v>
      </c>
    </row>
    <row r="596" spans="2:2" ht="15" x14ac:dyDescent="0.2">
      <c r="B596" s="2">
        <v>56369</v>
      </c>
    </row>
    <row r="597" spans="2:2" ht="15" x14ac:dyDescent="0.2">
      <c r="B597" s="2">
        <v>56412</v>
      </c>
    </row>
    <row r="598" spans="2:2" ht="15" x14ac:dyDescent="0.2">
      <c r="B598" s="2">
        <v>56498</v>
      </c>
    </row>
    <row r="599" spans="2:2" ht="15" x14ac:dyDescent="0.2">
      <c r="B599" s="2">
        <v>56533</v>
      </c>
    </row>
    <row r="600" spans="2:2" ht="15" x14ac:dyDescent="0.2">
      <c r="B600" s="2">
        <v>56554</v>
      </c>
    </row>
    <row r="601" spans="2:2" ht="15" x14ac:dyDescent="0.2">
      <c r="B601" s="2">
        <v>56567</v>
      </c>
    </row>
    <row r="602" spans="2:2" ht="15" x14ac:dyDescent="0.2">
      <c r="B602" s="2">
        <v>56607</v>
      </c>
    </row>
    <row r="603" spans="2:2" ht="15" x14ac:dyDescent="0.2">
      <c r="B603" s="2">
        <v>56614</v>
      </c>
    </row>
    <row r="604" spans="2:2" ht="15" x14ac:dyDescent="0.2">
      <c r="B604" s="2">
        <v>56654</v>
      </c>
    </row>
    <row r="605" spans="2:2" ht="15" x14ac:dyDescent="0.2">
      <c r="B605" s="2">
        <v>56655</v>
      </c>
    </row>
    <row r="606" spans="2:2" ht="15" x14ac:dyDescent="0.2">
      <c r="B606" s="2">
        <v>56700</v>
      </c>
    </row>
    <row r="607" spans="2:2" ht="15" x14ac:dyDescent="0.2">
      <c r="B607" s="2">
        <v>56724</v>
      </c>
    </row>
    <row r="608" spans="2:2" ht="15" x14ac:dyDescent="0.2">
      <c r="B608" s="2">
        <v>56734</v>
      </c>
    </row>
    <row r="609" spans="2:2" ht="15" x14ac:dyDescent="0.2">
      <c r="B609" s="2">
        <v>56762</v>
      </c>
    </row>
    <row r="610" spans="2:2" ht="15" x14ac:dyDescent="0.2">
      <c r="B610" s="2">
        <v>56863</v>
      </c>
    </row>
    <row r="611" spans="2:2" ht="15" x14ac:dyDescent="0.2">
      <c r="B611" s="2">
        <v>56898</v>
      </c>
    </row>
    <row r="612" spans="2:2" ht="15" x14ac:dyDescent="0.2">
      <c r="B612" s="2">
        <v>56919</v>
      </c>
    </row>
    <row r="613" spans="2:2" ht="15" x14ac:dyDescent="0.2">
      <c r="B613" s="2">
        <v>56932</v>
      </c>
    </row>
    <row r="614" spans="2:2" ht="15" x14ac:dyDescent="0.2">
      <c r="B614" s="2">
        <v>56972</v>
      </c>
    </row>
    <row r="615" spans="2:2" ht="15" x14ac:dyDescent="0.2">
      <c r="B615" s="2">
        <v>56979</v>
      </c>
    </row>
    <row r="616" spans="2:2" ht="15" x14ac:dyDescent="0.2">
      <c r="B616" s="2">
        <v>57039</v>
      </c>
    </row>
    <row r="617" spans="2:2" ht="15" x14ac:dyDescent="0.2">
      <c r="B617" s="2">
        <v>57040</v>
      </c>
    </row>
    <row r="618" spans="2:2" ht="15" x14ac:dyDescent="0.2">
      <c r="B618" s="2">
        <v>57085</v>
      </c>
    </row>
    <row r="619" spans="2:2" ht="15" x14ac:dyDescent="0.2">
      <c r="B619" s="2">
        <v>57090</v>
      </c>
    </row>
    <row r="620" spans="2:2" ht="15" x14ac:dyDescent="0.2">
      <c r="B620" s="2">
        <v>57100</v>
      </c>
    </row>
    <row r="621" spans="2:2" ht="15" x14ac:dyDescent="0.2">
      <c r="B621" s="2">
        <v>57147</v>
      </c>
    </row>
    <row r="622" spans="2:2" ht="15" x14ac:dyDescent="0.2">
      <c r="B622" s="2">
        <v>57229</v>
      </c>
    </row>
    <row r="623" spans="2:2" ht="15" x14ac:dyDescent="0.2">
      <c r="B623" s="2">
        <v>57264</v>
      </c>
    </row>
    <row r="624" spans="2:2" ht="15" x14ac:dyDescent="0.2">
      <c r="B624" s="2">
        <v>57285</v>
      </c>
    </row>
    <row r="625" spans="2:2" ht="15" x14ac:dyDescent="0.2">
      <c r="B625" s="2">
        <v>57298</v>
      </c>
    </row>
    <row r="626" spans="2:2" ht="15" x14ac:dyDescent="0.2">
      <c r="B626" s="3">
        <v>57338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27B-887E-42EB-8B87-39AA010A4CD4}">
  <dimension ref="B1:D323"/>
  <sheetViews>
    <sheetView topLeftCell="A139" workbookViewId="0">
      <selection activeCell="C161" sqref="C161"/>
    </sheetView>
  </sheetViews>
  <sheetFormatPr defaultRowHeight="12.75" x14ac:dyDescent="0.2"/>
  <cols>
    <col min="2" max="2" width="10.140625" bestFit="1" customWidth="1"/>
    <col min="4" max="4" width="129" bestFit="1" customWidth="1"/>
  </cols>
  <sheetData>
    <row r="1" spans="2:3" x14ac:dyDescent="0.2">
      <c r="B1" s="138" t="s">
        <v>52</v>
      </c>
      <c r="C1" s="138"/>
    </row>
    <row r="2" spans="2:3" x14ac:dyDescent="0.2">
      <c r="B2" s="90" t="s">
        <v>53</v>
      </c>
      <c r="C2" s="90" t="s">
        <v>54</v>
      </c>
    </row>
    <row r="3" spans="2:3" x14ac:dyDescent="0.2">
      <c r="B3" s="91">
        <v>39096</v>
      </c>
      <c r="C3" s="92">
        <v>0.63</v>
      </c>
    </row>
    <row r="4" spans="2:3" x14ac:dyDescent="0.2">
      <c r="B4" s="91">
        <v>39127</v>
      </c>
      <c r="C4" s="92">
        <v>0.83</v>
      </c>
    </row>
    <row r="5" spans="2:3" x14ac:dyDescent="0.2">
      <c r="B5" s="91">
        <v>39155</v>
      </c>
      <c r="C5" s="92">
        <v>0.8</v>
      </c>
    </row>
    <row r="6" spans="2:3" x14ac:dyDescent="0.2">
      <c r="B6" s="91">
        <v>39186</v>
      </c>
      <c r="C6" s="92">
        <v>0.79</v>
      </c>
    </row>
    <row r="7" spans="2:3" x14ac:dyDescent="0.2">
      <c r="B7" s="91">
        <v>39216</v>
      </c>
      <c r="C7" s="92">
        <v>0.77</v>
      </c>
    </row>
    <row r="8" spans="2:3" x14ac:dyDescent="0.2">
      <c r="B8" s="91">
        <v>39247</v>
      </c>
      <c r="C8" s="92">
        <v>0.47</v>
      </c>
    </row>
    <row r="9" spans="2:3" x14ac:dyDescent="0.2">
      <c r="B9" s="91">
        <v>39277</v>
      </c>
      <c r="C9" s="92">
        <v>0.15</v>
      </c>
    </row>
    <row r="10" spans="2:3" x14ac:dyDescent="0.2">
      <c r="B10" s="91">
        <v>39308</v>
      </c>
      <c r="C10" s="92">
        <v>0.16</v>
      </c>
    </row>
    <row r="11" spans="2:3" x14ac:dyDescent="0.2">
      <c r="B11" s="91">
        <v>39339</v>
      </c>
      <c r="C11" s="92">
        <v>0.37</v>
      </c>
    </row>
    <row r="12" spans="2:3" x14ac:dyDescent="0.2">
      <c r="B12" s="91">
        <v>39369</v>
      </c>
      <c r="C12" s="92">
        <v>0.53</v>
      </c>
    </row>
    <row r="13" spans="2:3" x14ac:dyDescent="0.2">
      <c r="B13" s="91">
        <v>39400</v>
      </c>
      <c r="C13" s="92">
        <v>0.43</v>
      </c>
    </row>
    <row r="14" spans="2:3" x14ac:dyDescent="0.2">
      <c r="B14" s="91">
        <v>39430</v>
      </c>
      <c r="C14" s="92">
        <v>0.52</v>
      </c>
    </row>
    <row r="15" spans="2:3" x14ac:dyDescent="0.2">
      <c r="B15" s="91">
        <v>39461</v>
      </c>
      <c r="C15" s="92">
        <v>0.5</v>
      </c>
    </row>
    <row r="16" spans="2:3" x14ac:dyDescent="0.2">
      <c r="B16" s="91">
        <v>39492</v>
      </c>
      <c r="C16" s="92">
        <v>0.56000000000000005</v>
      </c>
    </row>
    <row r="17" spans="2:3" x14ac:dyDescent="0.2">
      <c r="B17" s="91">
        <v>39521</v>
      </c>
      <c r="C17" s="92">
        <v>0.45</v>
      </c>
    </row>
    <row r="18" spans="2:3" x14ac:dyDescent="0.2">
      <c r="B18" s="91">
        <v>39552</v>
      </c>
      <c r="C18" s="92">
        <v>0.21</v>
      </c>
    </row>
    <row r="19" spans="2:3" x14ac:dyDescent="0.2">
      <c r="B19" s="91">
        <v>39582</v>
      </c>
      <c r="C19" s="92">
        <v>0.64</v>
      </c>
    </row>
    <row r="20" spans="2:3" x14ac:dyDescent="0.2">
      <c r="B20" s="91">
        <v>39613</v>
      </c>
      <c r="C20" s="92">
        <v>0.36</v>
      </c>
    </row>
    <row r="21" spans="2:3" x14ac:dyDescent="0.2">
      <c r="B21" s="91">
        <v>39643</v>
      </c>
      <c r="C21" s="92">
        <v>0.08</v>
      </c>
    </row>
    <row r="22" spans="2:3" x14ac:dyDescent="0.2">
      <c r="B22" s="91">
        <v>39674</v>
      </c>
      <c r="C22" s="92">
        <v>0.43</v>
      </c>
    </row>
    <row r="23" spans="2:3" x14ac:dyDescent="0.2">
      <c r="B23" s="91">
        <v>39705</v>
      </c>
      <c r="C23" s="92">
        <v>0.41</v>
      </c>
    </row>
    <row r="24" spans="2:3" x14ac:dyDescent="0.2">
      <c r="B24" s="91">
        <v>39735</v>
      </c>
      <c r="C24" s="92">
        <v>0.56999999999999995</v>
      </c>
    </row>
    <row r="25" spans="2:3" x14ac:dyDescent="0.2">
      <c r="B25" s="91">
        <v>39766</v>
      </c>
      <c r="C25" s="92">
        <v>0.59</v>
      </c>
    </row>
    <row r="26" spans="2:3" x14ac:dyDescent="0.2">
      <c r="B26" s="91">
        <v>39796</v>
      </c>
      <c r="C26" s="92">
        <v>0.6</v>
      </c>
    </row>
    <row r="27" spans="2:3" x14ac:dyDescent="0.2">
      <c r="B27" s="91">
        <v>39827</v>
      </c>
      <c r="C27" s="92">
        <v>0.79</v>
      </c>
    </row>
    <row r="28" spans="2:3" x14ac:dyDescent="0.2">
      <c r="B28" s="91">
        <v>39858</v>
      </c>
      <c r="C28" s="92">
        <v>0.86</v>
      </c>
    </row>
    <row r="29" spans="2:3" x14ac:dyDescent="0.2">
      <c r="B29" s="91">
        <v>39886</v>
      </c>
      <c r="C29" s="92">
        <v>0.6</v>
      </c>
    </row>
    <row r="30" spans="2:3" x14ac:dyDescent="0.2">
      <c r="B30" s="91">
        <v>39917</v>
      </c>
      <c r="C30" s="92">
        <v>0.47</v>
      </c>
    </row>
    <row r="31" spans="2:3" x14ac:dyDescent="0.2">
      <c r="B31" s="91">
        <v>39947</v>
      </c>
      <c r="C31" s="92">
        <v>0.55000000000000004</v>
      </c>
    </row>
    <row r="32" spans="2:3" x14ac:dyDescent="0.2">
      <c r="B32" s="91">
        <v>39978</v>
      </c>
      <c r="C32" s="92">
        <v>0.37</v>
      </c>
    </row>
    <row r="33" spans="2:3" x14ac:dyDescent="0.2">
      <c r="B33" s="91">
        <v>40008</v>
      </c>
      <c r="C33" s="92">
        <v>0.26</v>
      </c>
    </row>
    <row r="34" spans="2:3" x14ac:dyDescent="0.2">
      <c r="B34" s="91">
        <v>40039</v>
      </c>
      <c r="C34" s="92">
        <v>0.03</v>
      </c>
    </row>
    <row r="35" spans="2:3" x14ac:dyDescent="0.2">
      <c r="B35" s="91">
        <v>40070</v>
      </c>
      <c r="C35" s="92">
        <v>0.24</v>
      </c>
    </row>
    <row r="36" spans="2:3" x14ac:dyDescent="0.2">
      <c r="B36" s="91">
        <v>40100</v>
      </c>
      <c r="C36" s="92">
        <v>0.35</v>
      </c>
    </row>
    <row r="37" spans="2:3" x14ac:dyDescent="0.2">
      <c r="B37" s="91">
        <v>40131</v>
      </c>
      <c r="C37" s="92">
        <v>0.56999999999999995</v>
      </c>
    </row>
    <row r="38" spans="2:3" x14ac:dyDescent="0.2">
      <c r="B38" s="91">
        <v>40161</v>
      </c>
      <c r="C38" s="92">
        <v>0.54</v>
      </c>
    </row>
    <row r="39" spans="2:3" x14ac:dyDescent="0.2">
      <c r="B39" s="91">
        <v>40192</v>
      </c>
      <c r="C39" s="92">
        <v>0.92</v>
      </c>
    </row>
    <row r="40" spans="2:3" x14ac:dyDescent="0.2">
      <c r="B40" s="91">
        <v>40223</v>
      </c>
      <c r="C40" s="92">
        <v>0.55000000000000004</v>
      </c>
    </row>
    <row r="41" spans="2:3" x14ac:dyDescent="0.2">
      <c r="B41" s="91">
        <v>40251</v>
      </c>
      <c r="C41" s="92">
        <v>0.69</v>
      </c>
    </row>
    <row r="42" spans="2:3" x14ac:dyDescent="0.2">
      <c r="B42" s="91">
        <v>40282</v>
      </c>
      <c r="C42" s="92">
        <v>0.92</v>
      </c>
    </row>
    <row r="43" spans="2:3" x14ac:dyDescent="0.2">
      <c r="B43" s="91">
        <v>40312</v>
      </c>
      <c r="C43" s="92">
        <v>0.67</v>
      </c>
    </row>
    <row r="44" spans="2:3" x14ac:dyDescent="0.2">
      <c r="B44" s="91">
        <v>40343</v>
      </c>
      <c r="C44" s="92">
        <v>0.46</v>
      </c>
    </row>
    <row r="45" spans="2:3" x14ac:dyDescent="0.2">
      <c r="B45" s="91">
        <v>40373</v>
      </c>
      <c r="C45" s="92">
        <v>0.4</v>
      </c>
    </row>
    <row r="46" spans="2:3" x14ac:dyDescent="0.2">
      <c r="B46" s="91">
        <v>40404</v>
      </c>
      <c r="C46" s="92">
        <v>0.01</v>
      </c>
    </row>
    <row r="47" spans="2:3" x14ac:dyDescent="0.2">
      <c r="B47" s="91">
        <v>40435</v>
      </c>
      <c r="C47" s="92">
        <v>0.25</v>
      </c>
    </row>
    <row r="48" spans="2:3" x14ac:dyDescent="0.2">
      <c r="B48" s="91">
        <v>40465</v>
      </c>
      <c r="C48" s="92">
        <v>0.56999999999999995</v>
      </c>
    </row>
    <row r="49" spans="2:3" x14ac:dyDescent="0.2">
      <c r="B49" s="91">
        <v>40496</v>
      </c>
      <c r="C49" s="92">
        <v>0.42</v>
      </c>
    </row>
    <row r="50" spans="2:3" x14ac:dyDescent="0.2">
      <c r="B50" s="91">
        <v>40526</v>
      </c>
      <c r="C50" s="92">
        <v>0.51</v>
      </c>
    </row>
    <row r="51" spans="2:3" x14ac:dyDescent="0.2">
      <c r="B51" s="91">
        <v>40557</v>
      </c>
      <c r="C51" s="92">
        <v>0.78</v>
      </c>
    </row>
    <row r="52" spans="2:3" x14ac:dyDescent="0.2">
      <c r="B52" s="91">
        <v>40588</v>
      </c>
      <c r="C52" s="92">
        <v>1.24</v>
      </c>
    </row>
    <row r="53" spans="2:3" x14ac:dyDescent="0.2">
      <c r="B53" s="91">
        <v>40616</v>
      </c>
      <c r="C53" s="92">
        <v>1.22</v>
      </c>
    </row>
    <row r="54" spans="2:3" x14ac:dyDescent="0.2">
      <c r="B54" s="91">
        <v>40647</v>
      </c>
      <c r="C54" s="92">
        <v>1.32</v>
      </c>
    </row>
    <row r="55" spans="2:3" x14ac:dyDescent="0.2">
      <c r="B55" s="91">
        <v>40677</v>
      </c>
      <c r="C55" s="92">
        <v>0.71</v>
      </c>
    </row>
    <row r="56" spans="2:3" x14ac:dyDescent="0.2">
      <c r="B56" s="91">
        <v>40708</v>
      </c>
      <c r="C56" s="92">
        <v>0.74</v>
      </c>
    </row>
    <row r="57" spans="2:3" x14ac:dyDescent="0.2">
      <c r="B57" s="91">
        <v>40738</v>
      </c>
      <c r="C57" s="92">
        <v>0.79</v>
      </c>
    </row>
    <row r="58" spans="2:3" x14ac:dyDescent="0.2">
      <c r="B58" s="91">
        <v>40769</v>
      </c>
      <c r="C58" s="92">
        <v>0.62</v>
      </c>
    </row>
    <row r="59" spans="2:3" x14ac:dyDescent="0.2">
      <c r="B59" s="91">
        <v>40800</v>
      </c>
      <c r="C59" s="92">
        <v>0.22</v>
      </c>
    </row>
    <row r="60" spans="2:3" x14ac:dyDescent="0.2">
      <c r="B60" s="91">
        <v>40830</v>
      </c>
      <c r="C60" s="92">
        <v>0.54</v>
      </c>
    </row>
    <row r="61" spans="2:3" x14ac:dyDescent="0.2">
      <c r="B61" s="91">
        <v>40861</v>
      </c>
      <c r="C61" s="92">
        <v>0.82</v>
      </c>
    </row>
    <row r="62" spans="2:3" x14ac:dyDescent="0.2">
      <c r="B62" s="91">
        <v>40891</v>
      </c>
      <c r="C62" s="92">
        <v>1.01</v>
      </c>
    </row>
    <row r="63" spans="2:3" x14ac:dyDescent="0.2">
      <c r="B63" s="91">
        <v>40922</v>
      </c>
      <c r="C63" s="92">
        <v>0.96</v>
      </c>
    </row>
    <row r="64" spans="2:3" x14ac:dyDescent="0.2">
      <c r="B64" s="91">
        <v>40953</v>
      </c>
      <c r="C64" s="92">
        <v>1.27</v>
      </c>
    </row>
    <row r="65" spans="2:3" x14ac:dyDescent="0.2">
      <c r="B65" s="91">
        <v>40982</v>
      </c>
      <c r="C65" s="92">
        <v>0.9</v>
      </c>
    </row>
    <row r="66" spans="2:3" x14ac:dyDescent="0.2">
      <c r="B66" s="91">
        <v>41013</v>
      </c>
      <c r="C66" s="92">
        <v>0.43</v>
      </c>
    </row>
    <row r="67" spans="2:3" x14ac:dyDescent="0.2">
      <c r="B67" s="91">
        <v>41043</v>
      </c>
      <c r="C67" s="92">
        <v>0.61</v>
      </c>
    </row>
    <row r="68" spans="2:3" x14ac:dyDescent="0.2">
      <c r="B68" s="91">
        <v>41074</v>
      </c>
      <c r="C68" s="92">
        <v>0.78</v>
      </c>
    </row>
    <row r="69" spans="2:3" x14ac:dyDescent="0.2">
      <c r="B69" s="91">
        <v>41104</v>
      </c>
      <c r="C69" s="92">
        <v>0.35</v>
      </c>
    </row>
    <row r="70" spans="2:3" x14ac:dyDescent="0.2">
      <c r="B70" s="91">
        <v>41135</v>
      </c>
      <c r="C70" s="92">
        <v>0.52</v>
      </c>
    </row>
    <row r="71" spans="2:3" x14ac:dyDescent="0.2">
      <c r="B71" s="91">
        <v>41166</v>
      </c>
      <c r="C71" s="92">
        <v>0.44</v>
      </c>
    </row>
    <row r="72" spans="2:3" x14ac:dyDescent="0.2">
      <c r="B72" s="91">
        <v>41196</v>
      </c>
      <c r="C72" s="92">
        <v>0.08</v>
      </c>
    </row>
    <row r="73" spans="2:3" x14ac:dyDescent="0.2">
      <c r="B73" s="91">
        <v>41227</v>
      </c>
      <c r="C73" s="92">
        <v>0.26</v>
      </c>
    </row>
    <row r="74" spans="2:3" x14ac:dyDescent="0.2">
      <c r="B74" s="91">
        <v>41257</v>
      </c>
      <c r="C74" s="92">
        <v>0.18</v>
      </c>
    </row>
    <row r="75" spans="2:3" x14ac:dyDescent="0.2">
      <c r="B75" s="91">
        <v>41288</v>
      </c>
      <c r="C75" s="92">
        <v>0.3</v>
      </c>
    </row>
    <row r="76" spans="2:3" x14ac:dyDescent="0.2">
      <c r="B76" s="91">
        <v>41319</v>
      </c>
      <c r="C76" s="92">
        <v>0.38</v>
      </c>
    </row>
    <row r="77" spans="2:3" x14ac:dyDescent="0.2">
      <c r="B77" s="91">
        <v>41347</v>
      </c>
      <c r="C77" s="92">
        <v>0.33</v>
      </c>
    </row>
    <row r="78" spans="2:3" x14ac:dyDescent="0.2">
      <c r="B78" s="91">
        <v>41378</v>
      </c>
      <c r="C78" s="92">
        <v>0.25</v>
      </c>
    </row>
    <row r="79" spans="2:3" x14ac:dyDescent="0.2">
      <c r="B79" s="91">
        <v>41408</v>
      </c>
      <c r="C79" s="92">
        <v>0.14000000000000001</v>
      </c>
    </row>
    <row r="80" spans="2:3" x14ac:dyDescent="0.2">
      <c r="B80" s="91">
        <v>41439</v>
      </c>
      <c r="C80" s="92">
        <v>0.31</v>
      </c>
    </row>
    <row r="81" spans="2:3" x14ac:dyDescent="0.2">
      <c r="B81" s="91">
        <v>41469</v>
      </c>
      <c r="C81" s="92">
        <v>-0.23</v>
      </c>
    </row>
    <row r="82" spans="2:3" x14ac:dyDescent="0.2">
      <c r="B82" s="91">
        <v>41500</v>
      </c>
      <c r="C82" s="92">
        <v>0.24</v>
      </c>
    </row>
    <row r="83" spans="2:3" x14ac:dyDescent="0.2">
      <c r="B83" s="91">
        <v>41531</v>
      </c>
      <c r="C83" s="92">
        <v>0.19</v>
      </c>
    </row>
    <row r="84" spans="2:3" x14ac:dyDescent="0.2">
      <c r="B84" s="91">
        <v>41561</v>
      </c>
      <c r="C84" s="92">
        <v>0.16</v>
      </c>
    </row>
    <row r="85" spans="2:3" x14ac:dyDescent="0.2">
      <c r="B85" s="91">
        <v>41592</v>
      </c>
      <c r="C85" s="92">
        <v>0.42</v>
      </c>
    </row>
    <row r="86" spans="2:3" x14ac:dyDescent="0.2">
      <c r="B86" s="91">
        <v>41622</v>
      </c>
      <c r="C86" s="92">
        <v>0.28000000000000003</v>
      </c>
    </row>
    <row r="87" spans="2:3" x14ac:dyDescent="0.2">
      <c r="B87" s="91">
        <v>41653</v>
      </c>
      <c r="C87" s="92">
        <v>0.44</v>
      </c>
    </row>
    <row r="88" spans="2:3" x14ac:dyDescent="0.2">
      <c r="B88" s="91">
        <v>41684</v>
      </c>
      <c r="C88" s="92">
        <v>0.28999999999999998</v>
      </c>
    </row>
    <row r="89" spans="2:3" x14ac:dyDescent="0.2">
      <c r="B89" s="91">
        <v>41712</v>
      </c>
      <c r="C89" s="92">
        <v>0.32</v>
      </c>
    </row>
    <row r="90" spans="2:3" x14ac:dyDescent="0.2">
      <c r="B90" s="91">
        <v>41743</v>
      </c>
      <c r="C90" s="92">
        <v>0.09</v>
      </c>
    </row>
    <row r="91" spans="2:3" x14ac:dyDescent="0.2">
      <c r="B91" s="91">
        <v>41773</v>
      </c>
      <c r="C91" s="92">
        <v>0.22</v>
      </c>
    </row>
    <row r="92" spans="2:3" x14ac:dyDescent="0.2">
      <c r="B92" s="91">
        <v>41804</v>
      </c>
      <c r="C92" s="92">
        <v>0.4</v>
      </c>
    </row>
    <row r="93" spans="2:3" x14ac:dyDescent="0.2">
      <c r="B93" s="91">
        <v>41834</v>
      </c>
      <c r="C93" s="92">
        <v>1.26</v>
      </c>
    </row>
    <row r="94" spans="2:3" x14ac:dyDescent="0.2">
      <c r="B94" s="91">
        <v>41865</v>
      </c>
      <c r="C94" s="92">
        <v>0.33</v>
      </c>
    </row>
    <row r="95" spans="2:3" x14ac:dyDescent="0.2">
      <c r="B95" s="91">
        <v>41896</v>
      </c>
      <c r="C95" s="92">
        <v>-0.09</v>
      </c>
    </row>
    <row r="96" spans="2:3" x14ac:dyDescent="0.2">
      <c r="B96" s="91">
        <v>41926</v>
      </c>
      <c r="C96" s="92">
        <v>0.48</v>
      </c>
    </row>
    <row r="97" spans="2:3" x14ac:dyDescent="0.2">
      <c r="B97" s="91">
        <v>41957</v>
      </c>
      <c r="C97" s="92">
        <v>0.45</v>
      </c>
    </row>
    <row r="98" spans="2:3" x14ac:dyDescent="0.2">
      <c r="B98" s="91">
        <v>41987</v>
      </c>
      <c r="C98" s="92">
        <v>-0.21</v>
      </c>
    </row>
    <row r="99" spans="2:3" x14ac:dyDescent="0.2">
      <c r="B99" s="91">
        <v>42018</v>
      </c>
      <c r="C99" s="92">
        <v>0.15</v>
      </c>
    </row>
    <row r="100" spans="2:3" x14ac:dyDescent="0.2">
      <c r="B100" s="91">
        <v>42049</v>
      </c>
      <c r="C100" s="92">
        <v>0.32</v>
      </c>
    </row>
    <row r="101" spans="2:3" x14ac:dyDescent="0.2">
      <c r="B101" s="91">
        <v>42077</v>
      </c>
      <c r="C101" s="92">
        <v>0.43</v>
      </c>
    </row>
    <row r="102" spans="2:3" x14ac:dyDescent="0.2">
      <c r="B102" s="91">
        <v>42108</v>
      </c>
      <c r="C102" s="92">
        <v>0.75</v>
      </c>
    </row>
    <row r="103" spans="2:3" x14ac:dyDescent="0.2">
      <c r="B103" s="91">
        <v>42138</v>
      </c>
      <c r="C103" s="92">
        <v>0.56999999999999995</v>
      </c>
    </row>
    <row r="104" spans="2:3" x14ac:dyDescent="0.2">
      <c r="B104" s="91">
        <v>42169</v>
      </c>
      <c r="C104" s="92">
        <v>0.13</v>
      </c>
    </row>
    <row r="105" spans="2:3" x14ac:dyDescent="0.2">
      <c r="B105" s="91">
        <v>42199</v>
      </c>
      <c r="C105" s="92">
        <v>0.01</v>
      </c>
    </row>
    <row r="106" spans="2:3" x14ac:dyDescent="0.2">
      <c r="B106" s="91">
        <v>42230</v>
      </c>
      <c r="C106" s="92">
        <v>0.19</v>
      </c>
    </row>
    <row r="107" spans="2:3" x14ac:dyDescent="0.2">
      <c r="B107" s="91">
        <v>42261</v>
      </c>
      <c r="C107" s="92">
        <v>0.11</v>
      </c>
    </row>
    <row r="108" spans="2:3" x14ac:dyDescent="0.2">
      <c r="B108" s="91">
        <v>42291</v>
      </c>
      <c r="C108" s="92">
        <v>-0.04</v>
      </c>
    </row>
    <row r="109" spans="2:3" x14ac:dyDescent="0.2">
      <c r="B109" s="91">
        <v>42322</v>
      </c>
      <c r="C109" s="92">
        <v>0.1</v>
      </c>
    </row>
    <row r="110" spans="2:3" x14ac:dyDescent="0.2">
      <c r="B110" s="91">
        <v>42352</v>
      </c>
      <c r="C110" s="92">
        <v>0.51</v>
      </c>
    </row>
    <row r="111" spans="2:3" x14ac:dyDescent="0.2">
      <c r="B111" s="91">
        <v>42383</v>
      </c>
      <c r="C111" s="92">
        <v>1.1499999999999999</v>
      </c>
    </row>
    <row r="112" spans="2:3" x14ac:dyDescent="0.2">
      <c r="B112" s="91">
        <v>42414</v>
      </c>
      <c r="C112" s="92">
        <v>0.21</v>
      </c>
    </row>
    <row r="113" spans="2:3" x14ac:dyDescent="0.2">
      <c r="B113" s="91">
        <v>42443</v>
      </c>
      <c r="C113" s="92">
        <v>0.25</v>
      </c>
    </row>
    <row r="114" spans="2:3" x14ac:dyDescent="0.2">
      <c r="B114" s="91">
        <v>42474</v>
      </c>
      <c r="C114" s="92">
        <v>7.0000000000000007E-2</v>
      </c>
    </row>
    <row r="115" spans="2:3" x14ac:dyDescent="0.2">
      <c r="B115" s="91">
        <v>42504</v>
      </c>
      <c r="C115" s="92">
        <v>-0.31</v>
      </c>
    </row>
    <row r="116" spans="2:3" x14ac:dyDescent="0.2">
      <c r="B116" s="91">
        <v>42535</v>
      </c>
      <c r="C116" s="92">
        <v>-0.38</v>
      </c>
    </row>
    <row r="117" spans="2:3" x14ac:dyDescent="0.2">
      <c r="B117" s="91">
        <v>42565</v>
      </c>
      <c r="C117" s="92">
        <v>0.26</v>
      </c>
    </row>
    <row r="118" spans="2:3" x14ac:dyDescent="0.2">
      <c r="B118" s="91">
        <v>42596</v>
      </c>
      <c r="C118" s="92">
        <v>0.36</v>
      </c>
    </row>
    <row r="119" spans="2:3" x14ac:dyDescent="0.2">
      <c r="B119" s="91">
        <v>42627</v>
      </c>
      <c r="C119" s="92">
        <v>0.24</v>
      </c>
    </row>
    <row r="120" spans="2:3" x14ac:dyDescent="0.2">
      <c r="B120" s="91">
        <v>42657</v>
      </c>
      <c r="C120" s="92">
        <v>0.64</v>
      </c>
    </row>
    <row r="121" spans="2:3" x14ac:dyDescent="0.2">
      <c r="B121" s="91">
        <v>42688</v>
      </c>
      <c r="C121" s="92">
        <v>0.86</v>
      </c>
    </row>
    <row r="122" spans="2:3" x14ac:dyDescent="0.2">
      <c r="B122" s="91">
        <v>42718</v>
      </c>
      <c r="C122" s="92">
        <v>0.89</v>
      </c>
    </row>
    <row r="123" spans="2:3" x14ac:dyDescent="0.2">
      <c r="B123" s="91">
        <v>42749</v>
      </c>
      <c r="C123" s="92">
        <v>1.35</v>
      </c>
    </row>
    <row r="124" spans="2:3" x14ac:dyDescent="0.2">
      <c r="B124" s="91">
        <v>42780</v>
      </c>
      <c r="C124" s="92">
        <v>0.25</v>
      </c>
    </row>
    <row r="125" spans="2:3" x14ac:dyDescent="0.2">
      <c r="B125" s="91">
        <v>42808</v>
      </c>
      <c r="C125" s="92">
        <v>0.86</v>
      </c>
    </row>
    <row r="126" spans="2:3" x14ac:dyDescent="0.2">
      <c r="B126" s="91">
        <v>42839</v>
      </c>
      <c r="C126" s="92">
        <v>0.93</v>
      </c>
    </row>
    <row r="127" spans="2:3" x14ac:dyDescent="0.2">
      <c r="B127" s="91">
        <v>42869</v>
      </c>
      <c r="C127" s="92">
        <v>0.31</v>
      </c>
    </row>
    <row r="128" spans="2:3" x14ac:dyDescent="0.2">
      <c r="B128" s="91">
        <v>42900</v>
      </c>
      <c r="C128" s="92">
        <v>0.83</v>
      </c>
    </row>
    <row r="129" spans="2:3" x14ac:dyDescent="0.2">
      <c r="B129" s="91">
        <v>42930</v>
      </c>
      <c r="C129" s="92">
        <v>0.53</v>
      </c>
    </row>
    <row r="130" spans="2:3" x14ac:dyDescent="0.2">
      <c r="B130" s="91">
        <v>42961</v>
      </c>
      <c r="C130" s="92">
        <v>0.96</v>
      </c>
    </row>
    <row r="131" spans="2:3" x14ac:dyDescent="0.2">
      <c r="B131" s="91">
        <v>42992</v>
      </c>
      <c r="C131" s="92">
        <v>0.87</v>
      </c>
    </row>
    <row r="132" spans="2:3" x14ac:dyDescent="0.2">
      <c r="B132" s="91">
        <v>43022</v>
      </c>
      <c r="C132" s="92">
        <v>1.1599999999999999</v>
      </c>
    </row>
    <row r="133" spans="2:3" x14ac:dyDescent="0.2">
      <c r="B133" s="91">
        <v>43053</v>
      </c>
      <c r="C133" s="92">
        <v>1.25</v>
      </c>
    </row>
    <row r="134" spans="2:3" x14ac:dyDescent="0.2">
      <c r="B134" s="91">
        <v>43083</v>
      </c>
      <c r="C134" s="92">
        <v>0.95</v>
      </c>
    </row>
    <row r="135" spans="2:3" x14ac:dyDescent="0.2">
      <c r="B135" s="91">
        <v>43114</v>
      </c>
      <c r="C135" s="92">
        <v>0.73</v>
      </c>
    </row>
    <row r="136" spans="2:3" x14ac:dyDescent="0.2">
      <c r="B136" s="91">
        <v>43145</v>
      </c>
      <c r="C136" s="92">
        <v>0.54</v>
      </c>
    </row>
    <row r="137" spans="2:3" x14ac:dyDescent="0.2">
      <c r="B137" s="91">
        <v>43173</v>
      </c>
      <c r="C137" s="92">
        <v>1.01</v>
      </c>
    </row>
    <row r="138" spans="2:3" x14ac:dyDescent="0.2">
      <c r="B138" s="91">
        <v>43204</v>
      </c>
      <c r="C138" s="92">
        <v>1.62</v>
      </c>
    </row>
    <row r="139" spans="2:3" x14ac:dyDescent="0.2">
      <c r="B139" s="91">
        <v>43234</v>
      </c>
      <c r="C139" s="92">
        <v>1.06</v>
      </c>
    </row>
    <row r="140" spans="2:3" x14ac:dyDescent="0.2">
      <c r="B140" s="91">
        <v>43265</v>
      </c>
      <c r="C140" s="92">
        <v>0.47</v>
      </c>
    </row>
    <row r="141" spans="2:3" x14ac:dyDescent="0.2">
      <c r="B141" s="91">
        <v>43295</v>
      </c>
      <c r="C141" s="92">
        <v>0.67</v>
      </c>
    </row>
    <row r="142" spans="2:3" x14ac:dyDescent="0.2">
      <c r="B142" s="91">
        <v>43326</v>
      </c>
      <c r="C142" s="92">
        <v>-0.68</v>
      </c>
    </row>
    <row r="143" spans="2:3" x14ac:dyDescent="0.2">
      <c r="B143" s="91">
        <v>43357</v>
      </c>
      <c r="C143" s="92">
        <v>-0.36</v>
      </c>
    </row>
    <row r="144" spans="2:3" x14ac:dyDescent="0.2">
      <c r="B144" s="91">
        <v>43387</v>
      </c>
      <c r="C144" s="92">
        <v>-0.28999999999999998</v>
      </c>
    </row>
    <row r="145" spans="2:4" x14ac:dyDescent="0.2">
      <c r="B145" s="91">
        <v>43418</v>
      </c>
      <c r="C145" s="92">
        <v>0.59</v>
      </c>
    </row>
    <row r="146" spans="2:4" x14ac:dyDescent="0.2">
      <c r="B146" s="91">
        <v>43448</v>
      </c>
      <c r="C146" s="92">
        <v>0.41</v>
      </c>
    </row>
    <row r="147" spans="2:4" x14ac:dyDescent="0.2">
      <c r="B147" s="91">
        <v>43479</v>
      </c>
      <c r="C147" s="92">
        <v>0.62</v>
      </c>
    </row>
    <row r="148" spans="2:4" x14ac:dyDescent="0.2">
      <c r="B148" s="91">
        <v>43510</v>
      </c>
      <c r="C148" s="92">
        <v>0.53</v>
      </c>
    </row>
    <row r="149" spans="2:4" x14ac:dyDescent="0.2">
      <c r="B149" s="91">
        <v>43538</v>
      </c>
      <c r="C149" s="92">
        <v>0.84</v>
      </c>
    </row>
    <row r="150" spans="2:4" x14ac:dyDescent="0.2">
      <c r="B150" s="91">
        <v>43569</v>
      </c>
      <c r="C150" s="92">
        <v>0.71</v>
      </c>
    </row>
    <row r="151" spans="2:4" x14ac:dyDescent="0.2">
      <c r="B151" s="91">
        <v>43599</v>
      </c>
      <c r="C151" s="92">
        <v>0.61</v>
      </c>
    </row>
    <row r="152" spans="2:4" x14ac:dyDescent="0.2">
      <c r="B152" s="91">
        <v>43630</v>
      </c>
      <c r="C152" s="92">
        <v>0.23</v>
      </c>
    </row>
    <row r="153" spans="2:4" x14ac:dyDescent="0.2">
      <c r="B153" s="91">
        <v>43660</v>
      </c>
      <c r="C153" s="92">
        <v>-0.08</v>
      </c>
    </row>
    <row r="154" spans="2:4" x14ac:dyDescent="0.2">
      <c r="B154" s="91">
        <v>43691</v>
      </c>
      <c r="C154" s="92">
        <v>0.12</v>
      </c>
    </row>
    <row r="155" spans="2:4" x14ac:dyDescent="0.2">
      <c r="B155" s="91">
        <v>43722</v>
      </c>
      <c r="C155" s="92">
        <v>0.23</v>
      </c>
    </row>
    <row r="156" spans="2:4" x14ac:dyDescent="0.2">
      <c r="B156" s="91">
        <v>43752</v>
      </c>
      <c r="C156" s="92">
        <v>0.26</v>
      </c>
    </row>
    <row r="157" spans="2:4" x14ac:dyDescent="0.2">
      <c r="B157" s="91">
        <v>43783</v>
      </c>
      <c r="C157" s="92">
        <v>0.24</v>
      </c>
    </row>
    <row r="158" spans="2:4" x14ac:dyDescent="0.2">
      <c r="B158" s="91">
        <v>43813</v>
      </c>
      <c r="C158" s="94">
        <f>C157</f>
        <v>0.24</v>
      </c>
      <c r="D158" s="93" t="s">
        <v>55</v>
      </c>
    </row>
    <row r="159" spans="2:4" x14ac:dyDescent="0.2">
      <c r="B159" s="91">
        <v>43844</v>
      </c>
      <c r="C159" s="94">
        <f>C158</f>
        <v>0.24</v>
      </c>
    </row>
    <row r="160" spans="2:4" x14ac:dyDescent="0.2">
      <c r="B160" s="91">
        <v>43875</v>
      </c>
      <c r="C160" s="94">
        <f t="shared" ref="C160:C191" si="0">C159</f>
        <v>0.24</v>
      </c>
    </row>
    <row r="161" spans="2:3" x14ac:dyDescent="0.2">
      <c r="B161" s="91">
        <v>43904</v>
      </c>
      <c r="C161" s="94">
        <f t="shared" si="0"/>
        <v>0.24</v>
      </c>
    </row>
    <row r="162" spans="2:3" x14ac:dyDescent="0.2">
      <c r="B162" s="91">
        <v>43935</v>
      </c>
      <c r="C162" s="94">
        <f t="shared" si="0"/>
        <v>0.24</v>
      </c>
    </row>
    <row r="163" spans="2:3" x14ac:dyDescent="0.2">
      <c r="B163" s="91">
        <v>43965</v>
      </c>
      <c r="C163" s="94">
        <f t="shared" si="0"/>
        <v>0.24</v>
      </c>
    </row>
    <row r="164" spans="2:3" x14ac:dyDescent="0.2">
      <c r="B164" s="91">
        <v>43996</v>
      </c>
      <c r="C164" s="94">
        <f t="shared" si="0"/>
        <v>0.24</v>
      </c>
    </row>
    <row r="165" spans="2:3" x14ac:dyDescent="0.2">
      <c r="B165" s="91">
        <v>44026</v>
      </c>
      <c r="C165" s="94">
        <f t="shared" si="0"/>
        <v>0.24</v>
      </c>
    </row>
    <row r="166" spans="2:3" x14ac:dyDescent="0.2">
      <c r="B166" s="91">
        <v>44057</v>
      </c>
      <c r="C166" s="94">
        <f t="shared" si="0"/>
        <v>0.24</v>
      </c>
    </row>
    <row r="167" spans="2:3" x14ac:dyDescent="0.2">
      <c r="B167" s="91">
        <v>44088</v>
      </c>
      <c r="C167" s="94">
        <f t="shared" si="0"/>
        <v>0.24</v>
      </c>
    </row>
    <row r="168" spans="2:3" x14ac:dyDescent="0.2">
      <c r="B168" s="91">
        <v>44118</v>
      </c>
      <c r="C168" s="94">
        <f t="shared" si="0"/>
        <v>0.24</v>
      </c>
    </row>
    <row r="169" spans="2:3" x14ac:dyDescent="0.2">
      <c r="B169" s="91">
        <v>44149</v>
      </c>
      <c r="C169" s="94">
        <f t="shared" si="0"/>
        <v>0.24</v>
      </c>
    </row>
    <row r="170" spans="2:3" x14ac:dyDescent="0.2">
      <c r="B170" s="91">
        <v>44179</v>
      </c>
      <c r="C170" s="94">
        <f t="shared" si="0"/>
        <v>0.24</v>
      </c>
    </row>
    <row r="171" spans="2:3" x14ac:dyDescent="0.2">
      <c r="B171" s="91">
        <v>44210</v>
      </c>
      <c r="C171" s="94">
        <f t="shared" si="0"/>
        <v>0.24</v>
      </c>
    </row>
    <row r="172" spans="2:3" x14ac:dyDescent="0.2">
      <c r="B172" s="91">
        <v>44241</v>
      </c>
      <c r="C172" s="94">
        <f t="shared" si="0"/>
        <v>0.24</v>
      </c>
    </row>
    <row r="173" spans="2:3" x14ac:dyDescent="0.2">
      <c r="B173" s="91">
        <v>44269</v>
      </c>
      <c r="C173" s="94">
        <f t="shared" si="0"/>
        <v>0.24</v>
      </c>
    </row>
    <row r="174" spans="2:3" x14ac:dyDescent="0.2">
      <c r="B174" s="91">
        <v>44300</v>
      </c>
      <c r="C174" s="94">
        <f t="shared" si="0"/>
        <v>0.24</v>
      </c>
    </row>
    <row r="175" spans="2:3" x14ac:dyDescent="0.2">
      <c r="B175" s="91">
        <v>44330</v>
      </c>
      <c r="C175" s="94">
        <f t="shared" si="0"/>
        <v>0.24</v>
      </c>
    </row>
    <row r="176" spans="2:3" x14ac:dyDescent="0.2">
      <c r="B176" s="91">
        <v>44361</v>
      </c>
      <c r="C176" s="94">
        <f t="shared" si="0"/>
        <v>0.24</v>
      </c>
    </row>
    <row r="177" spans="2:3" x14ac:dyDescent="0.2">
      <c r="B177" s="91">
        <v>44391</v>
      </c>
      <c r="C177" s="94">
        <f t="shared" si="0"/>
        <v>0.24</v>
      </c>
    </row>
    <row r="178" spans="2:3" x14ac:dyDescent="0.2">
      <c r="B178" s="91">
        <v>44422</v>
      </c>
      <c r="C178" s="94">
        <f t="shared" si="0"/>
        <v>0.24</v>
      </c>
    </row>
    <row r="179" spans="2:3" x14ac:dyDescent="0.2">
      <c r="B179" s="91">
        <v>44453</v>
      </c>
      <c r="C179" s="94">
        <f t="shared" si="0"/>
        <v>0.24</v>
      </c>
    </row>
    <row r="180" spans="2:3" x14ac:dyDescent="0.2">
      <c r="B180" s="91">
        <v>44483</v>
      </c>
      <c r="C180" s="94">
        <f t="shared" si="0"/>
        <v>0.24</v>
      </c>
    </row>
    <row r="181" spans="2:3" x14ac:dyDescent="0.2">
      <c r="B181" s="91">
        <v>44514</v>
      </c>
      <c r="C181" s="94">
        <f t="shared" si="0"/>
        <v>0.24</v>
      </c>
    </row>
    <row r="182" spans="2:3" x14ac:dyDescent="0.2">
      <c r="B182" s="91">
        <v>44544</v>
      </c>
      <c r="C182" s="94">
        <f t="shared" si="0"/>
        <v>0.24</v>
      </c>
    </row>
    <row r="183" spans="2:3" x14ac:dyDescent="0.2">
      <c r="B183" s="91">
        <v>44575</v>
      </c>
      <c r="C183" s="94">
        <f t="shared" si="0"/>
        <v>0.24</v>
      </c>
    </row>
    <row r="184" spans="2:3" x14ac:dyDescent="0.2">
      <c r="B184" s="91">
        <v>44606</v>
      </c>
      <c r="C184" s="94">
        <f t="shared" si="0"/>
        <v>0.24</v>
      </c>
    </row>
    <row r="185" spans="2:3" x14ac:dyDescent="0.2">
      <c r="B185" s="91">
        <v>44634</v>
      </c>
      <c r="C185" s="94">
        <f t="shared" si="0"/>
        <v>0.24</v>
      </c>
    </row>
    <row r="186" spans="2:3" x14ac:dyDescent="0.2">
      <c r="B186" s="91">
        <v>44665</v>
      </c>
      <c r="C186" s="94">
        <f t="shared" si="0"/>
        <v>0.24</v>
      </c>
    </row>
    <row r="187" spans="2:3" x14ac:dyDescent="0.2">
      <c r="B187" s="91">
        <v>44695</v>
      </c>
      <c r="C187" s="94">
        <f t="shared" si="0"/>
        <v>0.24</v>
      </c>
    </row>
    <row r="188" spans="2:3" x14ac:dyDescent="0.2">
      <c r="B188" s="91">
        <v>44726</v>
      </c>
      <c r="C188" s="94">
        <f t="shared" si="0"/>
        <v>0.24</v>
      </c>
    </row>
    <row r="189" spans="2:3" x14ac:dyDescent="0.2">
      <c r="B189" s="91">
        <v>44756</v>
      </c>
      <c r="C189" s="94">
        <f t="shared" si="0"/>
        <v>0.24</v>
      </c>
    </row>
    <row r="190" spans="2:3" x14ac:dyDescent="0.2">
      <c r="B190" s="91">
        <v>44787</v>
      </c>
      <c r="C190" s="94">
        <f t="shared" si="0"/>
        <v>0.24</v>
      </c>
    </row>
    <row r="191" spans="2:3" x14ac:dyDescent="0.2">
      <c r="B191" s="91">
        <v>44818</v>
      </c>
      <c r="C191" s="94">
        <f t="shared" si="0"/>
        <v>0.24</v>
      </c>
    </row>
    <row r="192" spans="2:3" x14ac:dyDescent="0.2">
      <c r="B192" s="91">
        <v>44848</v>
      </c>
      <c r="C192" s="94">
        <f t="shared" ref="C192:C255" si="1">C191</f>
        <v>0.24</v>
      </c>
    </row>
    <row r="193" spans="2:3" x14ac:dyDescent="0.2">
      <c r="B193" s="91">
        <v>44879</v>
      </c>
      <c r="C193" s="94">
        <f t="shared" si="1"/>
        <v>0.24</v>
      </c>
    </row>
    <row r="194" spans="2:3" x14ac:dyDescent="0.2">
      <c r="B194" s="91">
        <v>44909</v>
      </c>
      <c r="C194" s="94">
        <f t="shared" si="1"/>
        <v>0.24</v>
      </c>
    </row>
    <row r="195" spans="2:3" x14ac:dyDescent="0.2">
      <c r="B195" s="91">
        <v>44940</v>
      </c>
      <c r="C195" s="94">
        <f t="shared" si="1"/>
        <v>0.24</v>
      </c>
    </row>
    <row r="196" spans="2:3" x14ac:dyDescent="0.2">
      <c r="B196" s="91">
        <v>44971</v>
      </c>
      <c r="C196" s="94">
        <f t="shared" si="1"/>
        <v>0.24</v>
      </c>
    </row>
    <row r="197" spans="2:3" x14ac:dyDescent="0.2">
      <c r="B197" s="91">
        <v>44999</v>
      </c>
      <c r="C197" s="94">
        <f t="shared" si="1"/>
        <v>0.24</v>
      </c>
    </row>
    <row r="198" spans="2:3" x14ac:dyDescent="0.2">
      <c r="B198" s="91">
        <v>45030</v>
      </c>
      <c r="C198" s="94">
        <f t="shared" si="1"/>
        <v>0.24</v>
      </c>
    </row>
    <row r="199" spans="2:3" x14ac:dyDescent="0.2">
      <c r="B199" s="91">
        <v>45060</v>
      </c>
      <c r="C199" s="94">
        <f t="shared" si="1"/>
        <v>0.24</v>
      </c>
    </row>
    <row r="200" spans="2:3" x14ac:dyDescent="0.2">
      <c r="B200" s="91">
        <v>45091</v>
      </c>
      <c r="C200" s="94">
        <f t="shared" si="1"/>
        <v>0.24</v>
      </c>
    </row>
    <row r="201" spans="2:3" x14ac:dyDescent="0.2">
      <c r="B201" s="91">
        <v>45121</v>
      </c>
      <c r="C201" s="94">
        <f t="shared" si="1"/>
        <v>0.24</v>
      </c>
    </row>
    <row r="202" spans="2:3" x14ac:dyDescent="0.2">
      <c r="B202" s="91">
        <v>45152</v>
      </c>
      <c r="C202" s="94">
        <f t="shared" si="1"/>
        <v>0.24</v>
      </c>
    </row>
    <row r="203" spans="2:3" x14ac:dyDescent="0.2">
      <c r="B203" s="91">
        <v>45183</v>
      </c>
      <c r="C203" s="94">
        <f t="shared" si="1"/>
        <v>0.24</v>
      </c>
    </row>
    <row r="204" spans="2:3" x14ac:dyDescent="0.2">
      <c r="B204" s="91">
        <v>45213</v>
      </c>
      <c r="C204" s="94">
        <f t="shared" si="1"/>
        <v>0.24</v>
      </c>
    </row>
    <row r="205" spans="2:3" x14ac:dyDescent="0.2">
      <c r="B205" s="91">
        <v>45244</v>
      </c>
      <c r="C205" s="94">
        <f t="shared" si="1"/>
        <v>0.24</v>
      </c>
    </row>
    <row r="206" spans="2:3" x14ac:dyDescent="0.2">
      <c r="B206" s="91">
        <v>45274</v>
      </c>
      <c r="C206" s="94">
        <f t="shared" si="1"/>
        <v>0.24</v>
      </c>
    </row>
    <row r="207" spans="2:3" x14ac:dyDescent="0.2">
      <c r="B207" s="91">
        <v>45305</v>
      </c>
      <c r="C207" s="94">
        <f t="shared" si="1"/>
        <v>0.24</v>
      </c>
    </row>
    <row r="208" spans="2:3" x14ac:dyDescent="0.2">
      <c r="B208" s="91">
        <v>45336</v>
      </c>
      <c r="C208" s="94">
        <f t="shared" si="1"/>
        <v>0.24</v>
      </c>
    </row>
    <row r="209" spans="2:3" x14ac:dyDescent="0.2">
      <c r="B209" s="91">
        <v>45365</v>
      </c>
      <c r="C209" s="94">
        <f t="shared" si="1"/>
        <v>0.24</v>
      </c>
    </row>
    <row r="210" spans="2:3" x14ac:dyDescent="0.2">
      <c r="B210" s="91">
        <v>45396</v>
      </c>
      <c r="C210" s="94">
        <f t="shared" si="1"/>
        <v>0.24</v>
      </c>
    </row>
    <row r="211" spans="2:3" x14ac:dyDescent="0.2">
      <c r="B211" s="91">
        <v>45426</v>
      </c>
      <c r="C211" s="94">
        <f t="shared" si="1"/>
        <v>0.24</v>
      </c>
    </row>
    <row r="212" spans="2:3" x14ac:dyDescent="0.2">
      <c r="B212" s="91">
        <v>45457</v>
      </c>
      <c r="C212" s="94">
        <f t="shared" si="1"/>
        <v>0.24</v>
      </c>
    </row>
    <row r="213" spans="2:3" x14ac:dyDescent="0.2">
      <c r="B213" s="91">
        <v>45487</v>
      </c>
      <c r="C213" s="94">
        <f t="shared" si="1"/>
        <v>0.24</v>
      </c>
    </row>
    <row r="214" spans="2:3" x14ac:dyDescent="0.2">
      <c r="B214" s="91">
        <v>45518</v>
      </c>
      <c r="C214" s="94">
        <f t="shared" si="1"/>
        <v>0.24</v>
      </c>
    </row>
    <row r="215" spans="2:3" x14ac:dyDescent="0.2">
      <c r="B215" s="91">
        <v>45549</v>
      </c>
      <c r="C215" s="94">
        <f t="shared" si="1"/>
        <v>0.24</v>
      </c>
    </row>
    <row r="216" spans="2:3" x14ac:dyDescent="0.2">
      <c r="B216" s="91">
        <v>45579</v>
      </c>
      <c r="C216" s="94">
        <f t="shared" si="1"/>
        <v>0.24</v>
      </c>
    </row>
    <row r="217" spans="2:3" x14ac:dyDescent="0.2">
      <c r="B217" s="91">
        <v>45610</v>
      </c>
      <c r="C217" s="94">
        <f t="shared" si="1"/>
        <v>0.24</v>
      </c>
    </row>
    <row r="218" spans="2:3" x14ac:dyDescent="0.2">
      <c r="B218" s="91">
        <v>45640</v>
      </c>
      <c r="C218" s="94">
        <f t="shared" si="1"/>
        <v>0.24</v>
      </c>
    </row>
    <row r="219" spans="2:3" x14ac:dyDescent="0.2">
      <c r="B219" s="91">
        <v>45671</v>
      </c>
      <c r="C219" s="94">
        <f t="shared" si="1"/>
        <v>0.24</v>
      </c>
    </row>
    <row r="220" spans="2:3" x14ac:dyDescent="0.2">
      <c r="B220" s="91">
        <v>45702</v>
      </c>
      <c r="C220" s="94">
        <f t="shared" si="1"/>
        <v>0.24</v>
      </c>
    </row>
    <row r="221" spans="2:3" x14ac:dyDescent="0.2">
      <c r="B221" s="91">
        <v>45730</v>
      </c>
      <c r="C221" s="94">
        <f t="shared" si="1"/>
        <v>0.24</v>
      </c>
    </row>
    <row r="222" spans="2:3" x14ac:dyDescent="0.2">
      <c r="B222" s="91">
        <v>45761</v>
      </c>
      <c r="C222" s="94">
        <f t="shared" si="1"/>
        <v>0.24</v>
      </c>
    </row>
    <row r="223" spans="2:3" x14ac:dyDescent="0.2">
      <c r="B223" s="91">
        <v>45791</v>
      </c>
      <c r="C223" s="94">
        <f t="shared" si="1"/>
        <v>0.24</v>
      </c>
    </row>
    <row r="224" spans="2:3" x14ac:dyDescent="0.2">
      <c r="B224" s="91">
        <v>45822</v>
      </c>
      <c r="C224" s="94">
        <f t="shared" si="1"/>
        <v>0.24</v>
      </c>
    </row>
    <row r="225" spans="2:3" x14ac:dyDescent="0.2">
      <c r="B225" s="91">
        <v>45852</v>
      </c>
      <c r="C225" s="94">
        <f t="shared" si="1"/>
        <v>0.24</v>
      </c>
    </row>
    <row r="226" spans="2:3" x14ac:dyDescent="0.2">
      <c r="B226" s="91">
        <v>45883</v>
      </c>
      <c r="C226" s="94">
        <f t="shared" si="1"/>
        <v>0.24</v>
      </c>
    </row>
    <row r="227" spans="2:3" x14ac:dyDescent="0.2">
      <c r="B227" s="91">
        <v>45914</v>
      </c>
      <c r="C227" s="94">
        <f t="shared" si="1"/>
        <v>0.24</v>
      </c>
    </row>
    <row r="228" spans="2:3" x14ac:dyDescent="0.2">
      <c r="B228" s="91">
        <v>45944</v>
      </c>
      <c r="C228" s="94">
        <f t="shared" si="1"/>
        <v>0.24</v>
      </c>
    </row>
    <row r="229" spans="2:3" x14ac:dyDescent="0.2">
      <c r="B229" s="91">
        <v>45975</v>
      </c>
      <c r="C229" s="94">
        <f t="shared" si="1"/>
        <v>0.24</v>
      </c>
    </row>
    <row r="230" spans="2:3" x14ac:dyDescent="0.2">
      <c r="B230" s="91">
        <v>46005</v>
      </c>
      <c r="C230" s="94">
        <f t="shared" si="1"/>
        <v>0.24</v>
      </c>
    </row>
    <row r="231" spans="2:3" x14ac:dyDescent="0.2">
      <c r="B231" s="91">
        <v>46036</v>
      </c>
      <c r="C231" s="94">
        <f t="shared" si="1"/>
        <v>0.24</v>
      </c>
    </row>
    <row r="232" spans="2:3" x14ac:dyDescent="0.2">
      <c r="B232" s="91">
        <v>46067</v>
      </c>
      <c r="C232" s="94">
        <f t="shared" si="1"/>
        <v>0.24</v>
      </c>
    </row>
    <row r="233" spans="2:3" x14ac:dyDescent="0.2">
      <c r="B233" s="91">
        <v>46095</v>
      </c>
      <c r="C233" s="94">
        <f t="shared" si="1"/>
        <v>0.24</v>
      </c>
    </row>
    <row r="234" spans="2:3" x14ac:dyDescent="0.2">
      <c r="B234" s="91">
        <v>46126</v>
      </c>
      <c r="C234" s="94">
        <f t="shared" si="1"/>
        <v>0.24</v>
      </c>
    </row>
    <row r="235" spans="2:3" x14ac:dyDescent="0.2">
      <c r="B235" s="91">
        <v>46156</v>
      </c>
      <c r="C235" s="94">
        <f t="shared" si="1"/>
        <v>0.24</v>
      </c>
    </row>
    <row r="236" spans="2:3" x14ac:dyDescent="0.2">
      <c r="B236" s="91">
        <v>46187</v>
      </c>
      <c r="C236" s="94">
        <f t="shared" si="1"/>
        <v>0.24</v>
      </c>
    </row>
    <row r="237" spans="2:3" x14ac:dyDescent="0.2">
      <c r="B237" s="91">
        <v>46217</v>
      </c>
      <c r="C237" s="94">
        <f t="shared" si="1"/>
        <v>0.24</v>
      </c>
    </row>
    <row r="238" spans="2:3" x14ac:dyDescent="0.2">
      <c r="B238" s="91">
        <v>46248</v>
      </c>
      <c r="C238" s="94">
        <f t="shared" si="1"/>
        <v>0.24</v>
      </c>
    </row>
    <row r="239" spans="2:3" x14ac:dyDescent="0.2">
      <c r="B239" s="91">
        <v>46279</v>
      </c>
      <c r="C239" s="94">
        <f t="shared" si="1"/>
        <v>0.24</v>
      </c>
    </row>
    <row r="240" spans="2:3" x14ac:dyDescent="0.2">
      <c r="B240" s="91">
        <v>46309</v>
      </c>
      <c r="C240" s="94">
        <f t="shared" si="1"/>
        <v>0.24</v>
      </c>
    </row>
    <row r="241" spans="2:3" x14ac:dyDescent="0.2">
      <c r="B241" s="91">
        <v>46340</v>
      </c>
      <c r="C241" s="94">
        <f t="shared" si="1"/>
        <v>0.24</v>
      </c>
    </row>
    <row r="242" spans="2:3" x14ac:dyDescent="0.2">
      <c r="B242" s="91">
        <v>46370</v>
      </c>
      <c r="C242" s="94">
        <f t="shared" si="1"/>
        <v>0.24</v>
      </c>
    </row>
    <row r="243" spans="2:3" x14ac:dyDescent="0.2">
      <c r="B243" s="91">
        <v>46401</v>
      </c>
      <c r="C243" s="94">
        <f t="shared" si="1"/>
        <v>0.24</v>
      </c>
    </row>
    <row r="244" spans="2:3" x14ac:dyDescent="0.2">
      <c r="B244" s="91">
        <v>46432</v>
      </c>
      <c r="C244" s="94">
        <f t="shared" si="1"/>
        <v>0.24</v>
      </c>
    </row>
    <row r="245" spans="2:3" x14ac:dyDescent="0.2">
      <c r="B245" s="91">
        <v>46460</v>
      </c>
      <c r="C245" s="94">
        <f t="shared" si="1"/>
        <v>0.24</v>
      </c>
    </row>
    <row r="246" spans="2:3" x14ac:dyDescent="0.2">
      <c r="B246" s="91">
        <v>46491</v>
      </c>
      <c r="C246" s="94">
        <f t="shared" si="1"/>
        <v>0.24</v>
      </c>
    </row>
    <row r="247" spans="2:3" x14ac:dyDescent="0.2">
      <c r="B247" s="91">
        <v>46521</v>
      </c>
      <c r="C247" s="94">
        <f t="shared" si="1"/>
        <v>0.24</v>
      </c>
    </row>
    <row r="248" spans="2:3" x14ac:dyDescent="0.2">
      <c r="B248" s="91">
        <v>46552</v>
      </c>
      <c r="C248" s="94">
        <f t="shared" si="1"/>
        <v>0.24</v>
      </c>
    </row>
    <row r="249" spans="2:3" x14ac:dyDescent="0.2">
      <c r="B249" s="91">
        <v>46582</v>
      </c>
      <c r="C249" s="94">
        <f t="shared" si="1"/>
        <v>0.24</v>
      </c>
    </row>
    <row r="250" spans="2:3" x14ac:dyDescent="0.2">
      <c r="B250" s="91">
        <v>46613</v>
      </c>
      <c r="C250" s="94">
        <f t="shared" si="1"/>
        <v>0.24</v>
      </c>
    </row>
    <row r="251" spans="2:3" x14ac:dyDescent="0.2">
      <c r="B251" s="91">
        <v>46644</v>
      </c>
      <c r="C251" s="94">
        <f t="shared" si="1"/>
        <v>0.24</v>
      </c>
    </row>
    <row r="252" spans="2:3" x14ac:dyDescent="0.2">
      <c r="B252" s="91">
        <v>46674</v>
      </c>
      <c r="C252" s="94">
        <f t="shared" si="1"/>
        <v>0.24</v>
      </c>
    </row>
    <row r="253" spans="2:3" x14ac:dyDescent="0.2">
      <c r="B253" s="91">
        <v>46705</v>
      </c>
      <c r="C253" s="94">
        <f t="shared" si="1"/>
        <v>0.24</v>
      </c>
    </row>
    <row r="254" spans="2:3" x14ac:dyDescent="0.2">
      <c r="B254" s="91">
        <v>46735</v>
      </c>
      <c r="C254" s="94">
        <f t="shared" si="1"/>
        <v>0.24</v>
      </c>
    </row>
    <row r="255" spans="2:3" x14ac:dyDescent="0.2">
      <c r="B255" s="91">
        <v>46766</v>
      </c>
      <c r="C255" s="94">
        <f t="shared" si="1"/>
        <v>0.24</v>
      </c>
    </row>
    <row r="256" spans="2:3" x14ac:dyDescent="0.2">
      <c r="B256" s="91">
        <v>46797</v>
      </c>
      <c r="C256" s="94">
        <f t="shared" ref="C256:C319" si="2">C255</f>
        <v>0.24</v>
      </c>
    </row>
    <row r="257" spans="2:3" x14ac:dyDescent="0.2">
      <c r="B257" s="91">
        <v>46826</v>
      </c>
      <c r="C257" s="94">
        <f t="shared" si="2"/>
        <v>0.24</v>
      </c>
    </row>
    <row r="258" spans="2:3" x14ac:dyDescent="0.2">
      <c r="B258" s="91">
        <v>46857</v>
      </c>
      <c r="C258" s="94">
        <f t="shared" si="2"/>
        <v>0.24</v>
      </c>
    </row>
    <row r="259" spans="2:3" x14ac:dyDescent="0.2">
      <c r="B259" s="91">
        <v>46887</v>
      </c>
      <c r="C259" s="94">
        <f t="shared" si="2"/>
        <v>0.24</v>
      </c>
    </row>
    <row r="260" spans="2:3" x14ac:dyDescent="0.2">
      <c r="B260" s="91">
        <v>46918</v>
      </c>
      <c r="C260" s="94">
        <f t="shared" si="2"/>
        <v>0.24</v>
      </c>
    </row>
    <row r="261" spans="2:3" x14ac:dyDescent="0.2">
      <c r="B261" s="91">
        <v>46948</v>
      </c>
      <c r="C261" s="94">
        <f t="shared" si="2"/>
        <v>0.24</v>
      </c>
    </row>
    <row r="262" spans="2:3" x14ac:dyDescent="0.2">
      <c r="B262" s="91">
        <v>46979</v>
      </c>
      <c r="C262" s="94">
        <f t="shared" si="2"/>
        <v>0.24</v>
      </c>
    </row>
    <row r="263" spans="2:3" x14ac:dyDescent="0.2">
      <c r="B263" s="91">
        <v>47010</v>
      </c>
      <c r="C263" s="94">
        <f t="shared" si="2"/>
        <v>0.24</v>
      </c>
    </row>
    <row r="264" spans="2:3" x14ac:dyDescent="0.2">
      <c r="B264" s="91">
        <v>47040</v>
      </c>
      <c r="C264" s="94">
        <f t="shared" si="2"/>
        <v>0.24</v>
      </c>
    </row>
    <row r="265" spans="2:3" x14ac:dyDescent="0.2">
      <c r="B265" s="91">
        <v>47071</v>
      </c>
      <c r="C265" s="94">
        <f t="shared" si="2"/>
        <v>0.24</v>
      </c>
    </row>
    <row r="266" spans="2:3" x14ac:dyDescent="0.2">
      <c r="B266" s="91">
        <v>47101</v>
      </c>
      <c r="C266" s="94">
        <f t="shared" si="2"/>
        <v>0.24</v>
      </c>
    </row>
    <row r="267" spans="2:3" x14ac:dyDescent="0.2">
      <c r="B267" s="91">
        <v>47132</v>
      </c>
      <c r="C267" s="94">
        <f t="shared" si="2"/>
        <v>0.24</v>
      </c>
    </row>
    <row r="268" spans="2:3" x14ac:dyDescent="0.2">
      <c r="B268" s="91">
        <v>47163</v>
      </c>
      <c r="C268" s="94">
        <f t="shared" si="2"/>
        <v>0.24</v>
      </c>
    </row>
    <row r="269" spans="2:3" x14ac:dyDescent="0.2">
      <c r="B269" s="91">
        <v>47191</v>
      </c>
      <c r="C269" s="94">
        <f t="shared" si="2"/>
        <v>0.24</v>
      </c>
    </row>
    <row r="270" spans="2:3" x14ac:dyDescent="0.2">
      <c r="B270" s="91">
        <v>47222</v>
      </c>
      <c r="C270" s="94">
        <f t="shared" si="2"/>
        <v>0.24</v>
      </c>
    </row>
    <row r="271" spans="2:3" x14ac:dyDescent="0.2">
      <c r="B271" s="91">
        <v>47252</v>
      </c>
      <c r="C271" s="94">
        <f t="shared" si="2"/>
        <v>0.24</v>
      </c>
    </row>
    <row r="272" spans="2:3" x14ac:dyDescent="0.2">
      <c r="B272" s="91">
        <v>47283</v>
      </c>
      <c r="C272" s="94">
        <f t="shared" si="2"/>
        <v>0.24</v>
      </c>
    </row>
    <row r="273" spans="2:3" x14ac:dyDescent="0.2">
      <c r="B273" s="91">
        <v>47313</v>
      </c>
      <c r="C273" s="94">
        <f t="shared" si="2"/>
        <v>0.24</v>
      </c>
    </row>
    <row r="274" spans="2:3" x14ac:dyDescent="0.2">
      <c r="B274" s="91">
        <v>47344</v>
      </c>
      <c r="C274" s="94">
        <f t="shared" si="2"/>
        <v>0.24</v>
      </c>
    </row>
    <row r="275" spans="2:3" x14ac:dyDescent="0.2">
      <c r="B275" s="91">
        <v>47375</v>
      </c>
      <c r="C275" s="94">
        <f t="shared" si="2"/>
        <v>0.24</v>
      </c>
    </row>
    <row r="276" spans="2:3" x14ac:dyDescent="0.2">
      <c r="B276" s="91">
        <v>47405</v>
      </c>
      <c r="C276" s="94">
        <f t="shared" si="2"/>
        <v>0.24</v>
      </c>
    </row>
    <row r="277" spans="2:3" x14ac:dyDescent="0.2">
      <c r="B277" s="91">
        <v>47436</v>
      </c>
      <c r="C277" s="94">
        <f t="shared" si="2"/>
        <v>0.24</v>
      </c>
    </row>
    <row r="278" spans="2:3" x14ac:dyDescent="0.2">
      <c r="B278" s="91">
        <v>47466</v>
      </c>
      <c r="C278" s="94">
        <f t="shared" si="2"/>
        <v>0.24</v>
      </c>
    </row>
    <row r="279" spans="2:3" x14ac:dyDescent="0.2">
      <c r="B279" s="91">
        <v>47497</v>
      </c>
      <c r="C279" s="94">
        <f t="shared" si="2"/>
        <v>0.24</v>
      </c>
    </row>
    <row r="280" spans="2:3" x14ac:dyDescent="0.2">
      <c r="B280" s="91">
        <v>47528</v>
      </c>
      <c r="C280" s="94">
        <f t="shared" si="2"/>
        <v>0.24</v>
      </c>
    </row>
    <row r="281" spans="2:3" x14ac:dyDescent="0.2">
      <c r="B281" s="91">
        <v>47556</v>
      </c>
      <c r="C281" s="94">
        <f t="shared" si="2"/>
        <v>0.24</v>
      </c>
    </row>
    <row r="282" spans="2:3" x14ac:dyDescent="0.2">
      <c r="B282" s="91">
        <v>47587</v>
      </c>
      <c r="C282" s="94">
        <f t="shared" si="2"/>
        <v>0.24</v>
      </c>
    </row>
    <row r="283" spans="2:3" x14ac:dyDescent="0.2">
      <c r="B283" s="91">
        <v>47617</v>
      </c>
      <c r="C283" s="94">
        <f t="shared" si="2"/>
        <v>0.24</v>
      </c>
    </row>
    <row r="284" spans="2:3" x14ac:dyDescent="0.2">
      <c r="B284" s="91">
        <v>47648</v>
      </c>
      <c r="C284" s="94">
        <f t="shared" si="2"/>
        <v>0.24</v>
      </c>
    </row>
    <row r="285" spans="2:3" x14ac:dyDescent="0.2">
      <c r="B285" s="91">
        <v>47678</v>
      </c>
      <c r="C285" s="94">
        <f t="shared" si="2"/>
        <v>0.24</v>
      </c>
    </row>
    <row r="286" spans="2:3" x14ac:dyDescent="0.2">
      <c r="B286" s="91">
        <v>47709</v>
      </c>
      <c r="C286" s="94">
        <f t="shared" si="2"/>
        <v>0.24</v>
      </c>
    </row>
    <row r="287" spans="2:3" x14ac:dyDescent="0.2">
      <c r="B287" s="91">
        <v>47740</v>
      </c>
      <c r="C287" s="94">
        <f t="shared" si="2"/>
        <v>0.24</v>
      </c>
    </row>
    <row r="288" spans="2:3" x14ac:dyDescent="0.2">
      <c r="B288" s="91">
        <v>47770</v>
      </c>
      <c r="C288" s="94">
        <f t="shared" si="2"/>
        <v>0.24</v>
      </c>
    </row>
    <row r="289" spans="2:3" x14ac:dyDescent="0.2">
      <c r="B289" s="91">
        <v>47801</v>
      </c>
      <c r="C289" s="94">
        <f t="shared" si="2"/>
        <v>0.24</v>
      </c>
    </row>
    <row r="290" spans="2:3" x14ac:dyDescent="0.2">
      <c r="B290" s="91">
        <v>47831</v>
      </c>
      <c r="C290" s="94">
        <f t="shared" si="2"/>
        <v>0.24</v>
      </c>
    </row>
    <row r="291" spans="2:3" x14ac:dyDescent="0.2">
      <c r="B291" s="91">
        <v>47862</v>
      </c>
      <c r="C291" s="94">
        <f t="shared" si="2"/>
        <v>0.24</v>
      </c>
    </row>
    <row r="292" spans="2:3" x14ac:dyDescent="0.2">
      <c r="B292" s="91">
        <v>47893</v>
      </c>
      <c r="C292" s="94">
        <f t="shared" si="2"/>
        <v>0.24</v>
      </c>
    </row>
    <row r="293" spans="2:3" x14ac:dyDescent="0.2">
      <c r="B293" s="91">
        <v>47921</v>
      </c>
      <c r="C293" s="94">
        <f t="shared" si="2"/>
        <v>0.24</v>
      </c>
    </row>
    <row r="294" spans="2:3" x14ac:dyDescent="0.2">
      <c r="B294" s="91">
        <v>47952</v>
      </c>
      <c r="C294" s="94">
        <f t="shared" si="2"/>
        <v>0.24</v>
      </c>
    </row>
    <row r="295" spans="2:3" x14ac:dyDescent="0.2">
      <c r="B295" s="91">
        <v>47982</v>
      </c>
      <c r="C295" s="94">
        <f t="shared" si="2"/>
        <v>0.24</v>
      </c>
    </row>
    <row r="296" spans="2:3" x14ac:dyDescent="0.2">
      <c r="B296" s="91">
        <v>48013</v>
      </c>
      <c r="C296" s="94">
        <f t="shared" si="2"/>
        <v>0.24</v>
      </c>
    </row>
    <row r="297" spans="2:3" x14ac:dyDescent="0.2">
      <c r="B297" s="91">
        <v>48043</v>
      </c>
      <c r="C297" s="94">
        <f t="shared" si="2"/>
        <v>0.24</v>
      </c>
    </row>
    <row r="298" spans="2:3" x14ac:dyDescent="0.2">
      <c r="B298" s="91">
        <v>48074</v>
      </c>
      <c r="C298" s="94">
        <f t="shared" si="2"/>
        <v>0.24</v>
      </c>
    </row>
    <row r="299" spans="2:3" x14ac:dyDescent="0.2">
      <c r="B299" s="91">
        <v>48105</v>
      </c>
      <c r="C299" s="94">
        <f t="shared" si="2"/>
        <v>0.24</v>
      </c>
    </row>
    <row r="300" spans="2:3" x14ac:dyDescent="0.2">
      <c r="B300" s="91">
        <v>48135</v>
      </c>
      <c r="C300" s="94">
        <f t="shared" si="2"/>
        <v>0.24</v>
      </c>
    </row>
    <row r="301" spans="2:3" x14ac:dyDescent="0.2">
      <c r="B301" s="91">
        <v>48166</v>
      </c>
      <c r="C301" s="94">
        <f t="shared" si="2"/>
        <v>0.24</v>
      </c>
    </row>
    <row r="302" spans="2:3" x14ac:dyDescent="0.2">
      <c r="B302" s="91">
        <v>48196</v>
      </c>
      <c r="C302" s="94">
        <f t="shared" si="2"/>
        <v>0.24</v>
      </c>
    </row>
    <row r="303" spans="2:3" x14ac:dyDescent="0.2">
      <c r="B303" s="91">
        <v>48227</v>
      </c>
      <c r="C303" s="94">
        <f t="shared" si="2"/>
        <v>0.24</v>
      </c>
    </row>
    <row r="304" spans="2:3" x14ac:dyDescent="0.2">
      <c r="B304" s="91">
        <v>48258</v>
      </c>
      <c r="C304" s="94">
        <f t="shared" si="2"/>
        <v>0.24</v>
      </c>
    </row>
    <row r="305" spans="2:3" x14ac:dyDescent="0.2">
      <c r="B305" s="91">
        <v>48287</v>
      </c>
      <c r="C305" s="94">
        <f t="shared" si="2"/>
        <v>0.24</v>
      </c>
    </row>
    <row r="306" spans="2:3" x14ac:dyDescent="0.2">
      <c r="B306" s="91">
        <v>48318</v>
      </c>
      <c r="C306" s="94">
        <f t="shared" si="2"/>
        <v>0.24</v>
      </c>
    </row>
    <row r="307" spans="2:3" x14ac:dyDescent="0.2">
      <c r="B307" s="91">
        <v>48348</v>
      </c>
      <c r="C307" s="94">
        <f t="shared" si="2"/>
        <v>0.24</v>
      </c>
    </row>
    <row r="308" spans="2:3" x14ac:dyDescent="0.2">
      <c r="B308" s="91">
        <v>48379</v>
      </c>
      <c r="C308" s="94">
        <f t="shared" si="2"/>
        <v>0.24</v>
      </c>
    </row>
    <row r="309" spans="2:3" x14ac:dyDescent="0.2">
      <c r="B309" s="91">
        <v>48409</v>
      </c>
      <c r="C309" s="94">
        <f t="shared" si="2"/>
        <v>0.24</v>
      </c>
    </row>
    <row r="310" spans="2:3" x14ac:dyDescent="0.2">
      <c r="B310" s="91">
        <v>48440</v>
      </c>
      <c r="C310" s="94">
        <f t="shared" si="2"/>
        <v>0.24</v>
      </c>
    </row>
    <row r="311" spans="2:3" x14ac:dyDescent="0.2">
      <c r="B311" s="91">
        <v>48471</v>
      </c>
      <c r="C311" s="94">
        <f t="shared" si="2"/>
        <v>0.24</v>
      </c>
    </row>
    <row r="312" spans="2:3" x14ac:dyDescent="0.2">
      <c r="B312" s="91">
        <v>48501</v>
      </c>
      <c r="C312" s="94">
        <f t="shared" si="2"/>
        <v>0.24</v>
      </c>
    </row>
    <row r="313" spans="2:3" x14ac:dyDescent="0.2">
      <c r="B313" s="91">
        <v>48532</v>
      </c>
      <c r="C313" s="94">
        <f t="shared" si="2"/>
        <v>0.24</v>
      </c>
    </row>
    <row r="314" spans="2:3" x14ac:dyDescent="0.2">
      <c r="B314" s="91">
        <v>48562</v>
      </c>
      <c r="C314" s="94">
        <f t="shared" si="2"/>
        <v>0.24</v>
      </c>
    </row>
    <row r="315" spans="2:3" x14ac:dyDescent="0.2">
      <c r="B315" s="91">
        <v>48593</v>
      </c>
      <c r="C315" s="94">
        <f t="shared" si="2"/>
        <v>0.24</v>
      </c>
    </row>
    <row r="316" spans="2:3" x14ac:dyDescent="0.2">
      <c r="B316" s="91">
        <v>48624</v>
      </c>
      <c r="C316" s="94">
        <f t="shared" si="2"/>
        <v>0.24</v>
      </c>
    </row>
    <row r="317" spans="2:3" x14ac:dyDescent="0.2">
      <c r="B317" s="91">
        <v>48652</v>
      </c>
      <c r="C317" s="94">
        <f t="shared" si="2"/>
        <v>0.24</v>
      </c>
    </row>
    <row r="318" spans="2:3" x14ac:dyDescent="0.2">
      <c r="B318" s="91">
        <v>48683</v>
      </c>
      <c r="C318" s="94">
        <f t="shared" si="2"/>
        <v>0.24</v>
      </c>
    </row>
    <row r="319" spans="2:3" x14ac:dyDescent="0.2">
      <c r="B319" s="91">
        <v>48713</v>
      </c>
      <c r="C319" s="94">
        <f t="shared" si="2"/>
        <v>0.24</v>
      </c>
    </row>
    <row r="320" spans="2:3" x14ac:dyDescent="0.2">
      <c r="B320" s="91">
        <v>48744</v>
      </c>
      <c r="C320" s="94">
        <f t="shared" ref="C320:C323" si="3">C319</f>
        <v>0.24</v>
      </c>
    </row>
    <row r="321" spans="2:3" x14ac:dyDescent="0.2">
      <c r="B321" s="91">
        <v>48774</v>
      </c>
      <c r="C321" s="94">
        <f t="shared" si="3"/>
        <v>0.24</v>
      </c>
    </row>
    <row r="322" spans="2:3" x14ac:dyDescent="0.2">
      <c r="B322" s="91">
        <v>48805</v>
      </c>
      <c r="C322" s="94">
        <f t="shared" si="3"/>
        <v>0.24</v>
      </c>
    </row>
    <row r="323" spans="2:3" x14ac:dyDescent="0.2">
      <c r="B323" s="91">
        <v>48836</v>
      </c>
      <c r="C323" s="94">
        <f t="shared" si="3"/>
        <v>0.24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95aee72d-2f82-48e1-9078-193c2d8a0bda}" enabled="1" method="Standard" siteId="{7e2324c6-6925-427e-b56d-4e6eda16752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Modelo Refin A - UMSELIC 143</vt:lpstr>
      <vt:lpstr>Modelo Refin B - TFB Reais</vt:lpstr>
      <vt:lpstr>Modelo Refin C - UM 185</vt:lpstr>
      <vt:lpstr>Modelo Refin D - UM 777</vt:lpstr>
      <vt:lpstr>Feriados</vt:lpstr>
      <vt:lpstr>Série IPCA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Lobo Paula Santos</dc:creator>
  <cp:lastModifiedBy>Cintia Lobo Paula Santos</cp:lastModifiedBy>
  <dcterms:created xsi:type="dcterms:W3CDTF">2005-02-18T15:10:11Z</dcterms:created>
  <dcterms:modified xsi:type="dcterms:W3CDTF">2023-12-04T18:08:45Z</dcterms:modified>
</cp:coreProperties>
</file>